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8850" windowHeight="4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<sst xmlns="http://schemas.openxmlformats.org/spreadsheetml/2006/main" count="136" uniqueCount="132">
  <si>
    <t>SHERIFF COLLECTION-DELINQUENCY REPORT 2004</t>
  </si>
  <si>
    <t>(STATE MONIES ONLY)</t>
  </si>
  <si>
    <t>COUNTY</t>
  </si>
  <si>
    <t>AMOUNT DELINQUENT</t>
  </si>
  <si>
    <t>DELINQUENT %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</si>
  <si>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</si>
  <si>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</si>
  <si>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</si>
  <si>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</si>
  <si>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</si>
  <si>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</si>
  <si>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</si>
  <si>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</si>
  <si>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</si>
  <si>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</si>
  <si>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</si>
  <si>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</si>
  <si>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</si>
  <si>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</si>
  <si>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</si>
  <si>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</si>
  <si>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</si>
  <si>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</si>
  <si>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</si>
  <si>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</si>
  <si>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</si>
  <si>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</si>
  <si>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</si>
  <si>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</si>
  <si>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</si>
  <si>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</si>
  <si>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</si>
  <si>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</si>
  <si>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</si>
  <si>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</si>
  <si>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</si>
  <si>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</si>
  <si>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</si>
  <si>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</si>
  <si>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</si>
  <si>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</si>
  <si>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</si>
  <si>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</si>
  <si>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</si>
  <si>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</si>
  <si>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</si>
  <si>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</si>
  <si>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</si>
  <si>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</si>
  <si>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</si>
  <si>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</si>
  <si>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</si>
  <si>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</si>
  <si>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</si>
  <si>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</si>
  <si>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</si>
  <si>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</si>
  <si>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</si>
  <si>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</si>
  <si>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</si>
  <si>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</si>
  <si>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</si>
  <si>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</si>
  <si>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</si>
  <si>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</si>
  <si>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</si>
  <si>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</si>
  <si>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</si>
  <si>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</si>
  <si>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</si>
  <si>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</si>
  <si>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</si>
  <si>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</si>
  <si>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</si>
  <si>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</si>
  <si>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</si>
  <si>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</si>
  <si>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</si>
  <si>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</si>
  <si>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</si>
  <si>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</si>
  <si>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</si>
  <si>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</si>
  <si>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</si>
  <si>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</si>
  <si>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</si>
  <si>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</si>
  <si>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</si>
  <si>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</si>
  <si>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</si>
  <si>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</si>
  <si>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</si>
  <si>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</si>
  <si>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</si>
  <si>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</si>
  <si>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</si>
  <si>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</si>
  <si>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</si>
  <si>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</si>
  <si>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</si>
  <si>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</si>
  <si>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</si>
  <si>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</si>
  <si>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</si>
  <si>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</si>
  <si>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</si>
  <si>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</si>
  <si>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</si>
  <si>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</si>
  <si>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</si>
  <si>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</si>
  <si>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</si>
  <si>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</si>
  <si>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</si>
  <si>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</si>
  <si>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</si>
  <si>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</si>
  <si>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</si>
  <si>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</si>
  <si>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</si>
  <si>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</si>
  <si>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</si>
  <si>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</si>
  <si>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</si>
  <si>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</si>
  <si>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</si>
  <si>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</si>
  <si>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</si>
  <si>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TOTAL REAL PROPERTY TAXES CHARGED</t>
  </si>
  <si>
    <t>TOTAL TANGIBLE PROPERTY TAXES CHARGED</t>
  </si>
  <si>
    <t>TOTAL INTANGIBLE PROPERTY TAXES CHARGED</t>
  </si>
  <si>
    <t>TOTAL STATE PROPERTY TAXES CHARGED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</si>
</sst>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164" fontId="1" fillId="0" borderId="0" xfId="15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64" fontId="1" fillId="0" borderId="1" xfId="15" applyNumberFormat="1" applyFont="1" applyBorder="1" applyAlignment="1">
      <alignment horizontal="center" wrapText="1"/>
    </xf>
    <xf numFmtId="165" fontId="1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0" fontId="1" fillId="0" borderId="2" xfId="0" applyFont="1" applyBorder="1" applyAlignment="1">
      <alignment/>
    </xf>
    <xf numFmtId="164" fontId="0" fillId="0" borderId="2" xfId="15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16.7109375" style="1" customWidth="1"/>
    <col min="2" max="2" width="12.140625" style="0" customWidth="1"/>
    <col min="3" max="3" width="12.8515625" style="0" customWidth="1"/>
    <col min="4" max="4" width="13.57421875" style="0" customWidth="1"/>
    <col min="5" max="5" width="12.7109375" style="2" customWidth="1"/>
    <col min="6" max="6" width="13.140625" style="2" customWidth="1"/>
    <col min="7" max="7" width="13.28125" style="0" customWidth="1"/>
    <col min="8" max="8" width="12.8515625" style="2" customWidth="1"/>
    <col min="9" max="9" width="12.7109375" style="2" customWidth="1"/>
    <col min="10" max="10" width="13.7109375" style="0" customWidth="1"/>
    <col min="11" max="11" width="12.421875" style="0" customWidth="1"/>
    <col min="12" max="12" width="13.28125" style="0" customWidth="1"/>
    <col min="13" max="13" width="13.00390625" style="0" customWidth="1"/>
  </cols>
  <sheetData>
    <row r="1" ht="12.75">
      <c r="F1" s="3" t="s">
        <v>0</v>
      </c>
    </row>
    <row r="2" ht="13.5" customHeight="1">
      <c r="G2" s="1" t="s">
        <v>1</v>
      </c>
    </row>
    <row r="3" spans="1:13" ht="64.5" thickBot="1">
      <c r="A3" s="4" t="s">
        <v>2</v>
      </c>
      <c r="B3" s="4" t="s">
        <v>128</v>
      </c>
      <c r="C3" s="4" t="s">
        <v>3</v>
      </c>
      <c r="D3" s="4" t="s">
        <v>4</v>
      </c>
      <c r="E3" s="5" t="s">
        <v>129</v>
      </c>
      <c r="F3" s="5" t="s">
        <v>3</v>
      </c>
      <c r="G3" s="4" t="s">
        <v>4</v>
      </c>
      <c r="H3" s="5" t="s">
        <v>130</v>
      </c>
      <c r="I3" s="5" t="s">
        <v>3</v>
      </c>
      <c r="J3" s="4" t="s">
        <v>4</v>
      </c>
      <c r="K3" s="4" t="s">
        <v>131</v>
      </c>
      <c r="L3" s="4" t="s">
        <v>5</v>
      </c>
      <c r="M3" s="4" t="s">
        <v>6</v>
      </c>
    </row>
    <row r="4" spans="1:13" ht="12.75">
      <c r="A4" s="6" t="s">
        <v>7</v>
      </c>
      <c r="B4" s="2">
        <v>503036</v>
      </c>
      <c r="C4" s="2">
        <v>8842</v>
      </c>
      <c r="D4" s="7">
        <f aca="true" t="shared" si="0" ref="D4:D67">C4/B4*100</f>
        <v>1.757727081163177</v>
      </c>
      <c r="E4" s="2">
        <v>81618</v>
      </c>
      <c r="F4" s="8">
        <v>140</v>
      </c>
      <c r="G4" s="7">
        <f aca="true" t="shared" si="1" ref="G4:G47">F4/E4*100</f>
        <v>0.17153078977676495</v>
      </c>
      <c r="H4" s="2">
        <f>43679+17+1274-109</f>
        <v>44861</v>
      </c>
      <c r="I4" s="2">
        <v>766</v>
      </c>
      <c r="J4" s="7">
        <f aca="true" t="shared" si="2" ref="J4:J67">I4/H4*100</f>
        <v>1.7074964891553912</v>
      </c>
      <c r="K4" s="9">
        <f aca="true" t="shared" si="3" ref="K4:K49">(B4+E4+H4)</f>
        <v>629515</v>
      </c>
      <c r="L4" s="9">
        <f aca="true" t="shared" si="4" ref="L4:L49">(C4+F4+I4)</f>
        <v>9748</v>
      </c>
      <c r="M4" s="7">
        <f aca="true" t="shared" si="5" ref="M4:M67">L4/K4*100</f>
        <v>1.5484936816438053</v>
      </c>
    </row>
    <row r="5" spans="1:13" ht="12.75">
      <c r="A5" s="6" t="s">
        <v>8</v>
      </c>
      <c r="B5" s="2">
        <v>580324</v>
      </c>
      <c r="C5" s="2">
        <v>12083</v>
      </c>
      <c r="D5" s="7">
        <f t="shared" si="0"/>
        <v>2.0821127508081694</v>
      </c>
      <c r="E5" s="2">
        <v>224140</v>
      </c>
      <c r="F5" s="2">
        <v>246</v>
      </c>
      <c r="G5" s="7">
        <f t="shared" si="1"/>
        <v>0.10975283305077184</v>
      </c>
      <c r="H5" s="2">
        <v>22616</v>
      </c>
      <c r="I5" s="2">
        <f>0</f>
        <v>0</v>
      </c>
      <c r="J5" s="7">
        <f t="shared" si="2"/>
        <v>0</v>
      </c>
      <c r="K5" s="9">
        <f t="shared" si="3"/>
        <v>827080</v>
      </c>
      <c r="L5" s="9">
        <f t="shared" si="4"/>
        <v>12329</v>
      </c>
      <c r="M5" s="7">
        <f t="shared" si="5"/>
        <v>1.4906659573439087</v>
      </c>
    </row>
    <row r="6" spans="1:13" ht="12.75">
      <c r="A6" s="6" t="s">
        <v>9</v>
      </c>
      <c r="B6" s="2">
        <v>1227126</v>
      </c>
      <c r="C6" s="2">
        <f>23789</f>
        <v>23789</v>
      </c>
      <c r="D6" s="7">
        <f t="shared" si="0"/>
        <v>1.9385947327332318</v>
      </c>
      <c r="E6" s="2">
        <v>259506</v>
      </c>
      <c r="F6" s="2">
        <f>994</f>
        <v>994</v>
      </c>
      <c r="G6" s="7">
        <f t="shared" si="1"/>
        <v>0.3830354596810864</v>
      </c>
      <c r="H6" s="2">
        <v>23563</v>
      </c>
      <c r="I6" s="2">
        <f>32</f>
        <v>32</v>
      </c>
      <c r="J6" s="7">
        <f t="shared" si="2"/>
        <v>0.13580613673980393</v>
      </c>
      <c r="K6" s="9">
        <f t="shared" si="3"/>
        <v>1510195</v>
      </c>
      <c r="L6" s="9">
        <f t="shared" si="4"/>
        <v>24815</v>
      </c>
      <c r="M6" s="7">
        <f t="shared" si="5"/>
        <v>1.6431652866020614</v>
      </c>
    </row>
    <row r="7" spans="1:13" ht="12.75">
      <c r="A7" s="6" t="s">
        <v>10</v>
      </c>
      <c r="B7" s="2">
        <v>321646</v>
      </c>
      <c r="C7" s="2">
        <f>6013</f>
        <v>6013</v>
      </c>
      <c r="D7" s="7">
        <f t="shared" si="0"/>
        <v>1.869446534388738</v>
      </c>
      <c r="E7" s="2">
        <v>326708</v>
      </c>
      <c r="F7" s="2">
        <f>6</f>
        <v>6</v>
      </c>
      <c r="G7" s="7">
        <f t="shared" si="1"/>
        <v>0.0018365023201145979</v>
      </c>
      <c r="H7" s="2">
        <v>15122</v>
      </c>
      <c r="I7" s="2">
        <v>5</v>
      </c>
      <c r="J7" s="7">
        <f t="shared" si="2"/>
        <v>0.03306440946964687</v>
      </c>
      <c r="K7" s="9">
        <f t="shared" si="3"/>
        <v>663476</v>
      </c>
      <c r="L7" s="9">
        <f t="shared" si="4"/>
        <v>6024</v>
      </c>
      <c r="M7" s="7">
        <f t="shared" si="5"/>
        <v>0.9079454268127257</v>
      </c>
    </row>
    <row r="8" spans="1:13" ht="12.75">
      <c r="A8" s="6" t="s">
        <v>11</v>
      </c>
      <c r="B8" s="2">
        <v>1884139</v>
      </c>
      <c r="C8" s="2">
        <f>30024</f>
        <v>30024</v>
      </c>
      <c r="D8" s="7">
        <f t="shared" si="0"/>
        <v>1.593513005144525</v>
      </c>
      <c r="E8" s="2">
        <v>736694</v>
      </c>
      <c r="F8" s="2">
        <f>4218+269</f>
        <v>4487</v>
      </c>
      <c r="G8" s="7">
        <f t="shared" si="1"/>
        <v>0.609072423557135</v>
      </c>
      <c r="H8" s="2">
        <v>326110</v>
      </c>
      <c r="I8" s="2">
        <f>660</f>
        <v>660</v>
      </c>
      <c r="J8" s="7">
        <f t="shared" si="2"/>
        <v>0.2023856980773359</v>
      </c>
      <c r="K8" s="9">
        <f t="shared" si="3"/>
        <v>2946943</v>
      </c>
      <c r="L8" s="9">
        <f t="shared" si="4"/>
        <v>35171</v>
      </c>
      <c r="M8" s="7">
        <f t="shared" si="5"/>
        <v>1.193474050906312</v>
      </c>
    </row>
    <row r="9" spans="1:13" ht="12.75">
      <c r="A9" s="6" t="s">
        <v>12</v>
      </c>
      <c r="B9" s="2">
        <v>301737</v>
      </c>
      <c r="C9" s="2">
        <f>14084</f>
        <v>14084</v>
      </c>
      <c r="D9" s="7">
        <f t="shared" si="0"/>
        <v>4.667641025131157</v>
      </c>
      <c r="E9" s="2">
        <v>40583</v>
      </c>
      <c r="F9" s="2">
        <f>587+64</f>
        <v>651</v>
      </c>
      <c r="G9" s="7">
        <f t="shared" si="1"/>
        <v>1.6041199517039153</v>
      </c>
      <c r="H9" s="10">
        <v>15369</v>
      </c>
      <c r="I9" s="2">
        <f>11</f>
        <v>11</v>
      </c>
      <c r="J9" s="7">
        <f t="shared" si="2"/>
        <v>0.07157264623592947</v>
      </c>
      <c r="K9" s="9">
        <f t="shared" si="3"/>
        <v>357689</v>
      </c>
      <c r="L9" s="9">
        <f t="shared" si="4"/>
        <v>14746</v>
      </c>
      <c r="M9" s="7">
        <f t="shared" si="5"/>
        <v>4.122575757152163</v>
      </c>
    </row>
    <row r="10" spans="1:13" ht="12.75">
      <c r="A10" s="6" t="s">
        <v>13</v>
      </c>
      <c r="B10" s="2">
        <v>678742</v>
      </c>
      <c r="C10" s="2">
        <f>32686</f>
        <v>32686</v>
      </c>
      <c r="D10" s="7">
        <f t="shared" si="0"/>
        <v>4.815673702231481</v>
      </c>
      <c r="E10" s="2">
        <v>273979</v>
      </c>
      <c r="F10" s="2">
        <v>19231</v>
      </c>
      <c r="G10" s="7">
        <f t="shared" si="1"/>
        <v>7.019151102821749</v>
      </c>
      <c r="H10" s="2">
        <v>69060</v>
      </c>
      <c r="I10" s="2">
        <f>1565</f>
        <v>1565</v>
      </c>
      <c r="J10" s="7">
        <f t="shared" si="2"/>
        <v>2.266145380828265</v>
      </c>
      <c r="K10" s="9">
        <f t="shared" si="3"/>
        <v>1021781</v>
      </c>
      <c r="L10" s="9">
        <f t="shared" si="4"/>
        <v>53482</v>
      </c>
      <c r="M10" s="7">
        <f t="shared" si="5"/>
        <v>5.234194020049307</v>
      </c>
    </row>
    <row r="11" spans="1:13" ht="12.75">
      <c r="A11" s="6" t="s">
        <v>14</v>
      </c>
      <c r="B11" s="2">
        <v>9656740</v>
      </c>
      <c r="C11" s="2">
        <v>97894</v>
      </c>
      <c r="D11" s="7">
        <f t="shared" si="0"/>
        <v>1.0137375553240533</v>
      </c>
      <c r="E11" s="2">
        <v>3283404</v>
      </c>
      <c r="F11" s="2">
        <f>16357+63+583</f>
        <v>17003</v>
      </c>
      <c r="G11" s="7">
        <f t="shared" si="1"/>
        <v>0.5178467224867851</v>
      </c>
      <c r="H11" s="2">
        <v>1006886</v>
      </c>
      <c r="I11" s="2">
        <f>754</f>
        <v>754</v>
      </c>
      <c r="J11" s="7">
        <f t="shared" si="2"/>
        <v>0.07488434639075327</v>
      </c>
      <c r="K11" s="9">
        <f t="shared" si="3"/>
        <v>13947030</v>
      </c>
      <c r="L11" s="9">
        <f t="shared" si="4"/>
        <v>115651</v>
      </c>
      <c r="M11" s="7">
        <f t="shared" si="5"/>
        <v>0.8292159692780471</v>
      </c>
    </row>
    <row r="12" spans="1:13" ht="12.75">
      <c r="A12" s="6" t="s">
        <v>15</v>
      </c>
      <c r="B12" s="2">
        <v>1034592</v>
      </c>
      <c r="C12" s="2">
        <f>11324</f>
        <v>11324</v>
      </c>
      <c r="D12" s="7">
        <f t="shared" si="0"/>
        <v>1.0945377501469178</v>
      </c>
      <c r="E12" s="2">
        <v>379019</v>
      </c>
      <c r="F12" s="2">
        <f>844+3</f>
        <v>847</v>
      </c>
      <c r="G12" s="7">
        <f t="shared" si="1"/>
        <v>0.22347164654014706</v>
      </c>
      <c r="H12" s="2">
        <v>118273</v>
      </c>
      <c r="I12" s="2">
        <f>0</f>
        <v>0</v>
      </c>
      <c r="J12" s="7">
        <f t="shared" si="2"/>
        <v>0</v>
      </c>
      <c r="K12" s="9">
        <f t="shared" si="3"/>
        <v>1531884</v>
      </c>
      <c r="L12" s="9">
        <f t="shared" si="4"/>
        <v>12171</v>
      </c>
      <c r="M12" s="7">
        <f t="shared" si="5"/>
        <v>0.7945118559890958</v>
      </c>
    </row>
    <row r="13" spans="1:13" ht="12.75">
      <c r="A13" s="6" t="s">
        <v>16</v>
      </c>
      <c r="B13" s="8">
        <v>1834205</v>
      </c>
      <c r="C13" s="2">
        <f>69177</f>
        <v>69177</v>
      </c>
      <c r="D13" s="7">
        <f t="shared" si="0"/>
        <v>3.771497733350416</v>
      </c>
      <c r="E13" s="2">
        <v>1241178</v>
      </c>
      <c r="F13" s="2">
        <f>16103+1+1566</f>
        <v>17670</v>
      </c>
      <c r="G13" s="7">
        <f t="shared" si="1"/>
        <v>1.4236475348419002</v>
      </c>
      <c r="H13" s="2">
        <v>443541</v>
      </c>
      <c r="I13" s="2">
        <f>10265+15</f>
        <v>10280</v>
      </c>
      <c r="J13" s="7">
        <f t="shared" si="2"/>
        <v>2.3177113277013848</v>
      </c>
      <c r="K13" s="9">
        <f t="shared" si="3"/>
        <v>3518924</v>
      </c>
      <c r="L13" s="9">
        <f t="shared" si="4"/>
        <v>97127</v>
      </c>
      <c r="M13" s="7">
        <f t="shared" si="5"/>
        <v>2.7601334953525565</v>
      </c>
    </row>
    <row r="14" spans="1:13" ht="12.75">
      <c r="A14" s="6" t="s">
        <v>17</v>
      </c>
      <c r="B14" s="2">
        <v>1660887</v>
      </c>
      <c r="C14" s="2">
        <v>14097</v>
      </c>
      <c r="D14" s="7">
        <f t="shared" si="0"/>
        <v>0.8487633415157082</v>
      </c>
      <c r="E14" s="2">
        <v>627028</v>
      </c>
      <c r="F14" s="2">
        <v>1104</v>
      </c>
      <c r="G14" s="7">
        <f t="shared" si="1"/>
        <v>0.1760686923072016</v>
      </c>
      <c r="H14" s="2">
        <v>221691</v>
      </c>
      <c r="I14" s="2">
        <f>1908</f>
        <v>1908</v>
      </c>
      <c r="J14" s="7">
        <f t="shared" si="2"/>
        <v>0.8606574015183296</v>
      </c>
      <c r="K14" s="9">
        <f t="shared" si="3"/>
        <v>2509606</v>
      </c>
      <c r="L14" s="9">
        <f t="shared" si="4"/>
        <v>17109</v>
      </c>
      <c r="M14" s="7">
        <f t="shared" si="5"/>
        <v>0.6817404803781948</v>
      </c>
    </row>
    <row r="15" spans="1:13" ht="12.75">
      <c r="A15" s="6" t="s">
        <v>18</v>
      </c>
      <c r="B15" s="2">
        <v>278332</v>
      </c>
      <c r="C15" s="2">
        <f>5658</f>
        <v>5658</v>
      </c>
      <c r="D15" s="7">
        <f t="shared" si="0"/>
        <v>2.0328241093370507</v>
      </c>
      <c r="E15" s="2">
        <v>42231</v>
      </c>
      <c r="F15" s="2">
        <f>66+1</f>
        <v>67</v>
      </c>
      <c r="G15" s="7">
        <f t="shared" si="1"/>
        <v>0.15865122777106866</v>
      </c>
      <c r="H15" s="2">
        <v>9575</v>
      </c>
      <c r="I15" s="2">
        <v>0</v>
      </c>
      <c r="J15" s="7">
        <f t="shared" si="2"/>
        <v>0</v>
      </c>
      <c r="K15" s="9">
        <f t="shared" si="3"/>
        <v>330138</v>
      </c>
      <c r="L15" s="9">
        <f t="shared" si="4"/>
        <v>5725</v>
      </c>
      <c r="M15" s="7">
        <f t="shared" si="5"/>
        <v>1.7341233060114254</v>
      </c>
    </row>
    <row r="16" spans="1:13" ht="12.75">
      <c r="A16" s="6" t="s">
        <v>19</v>
      </c>
      <c r="B16" s="2">
        <v>300284</v>
      </c>
      <c r="C16" s="2">
        <f>20287</f>
        <v>20287</v>
      </c>
      <c r="D16" s="7">
        <f t="shared" si="0"/>
        <v>6.755937712299024</v>
      </c>
      <c r="E16" s="2">
        <v>110761</v>
      </c>
      <c r="F16" s="2">
        <f>53+18</f>
        <v>71</v>
      </c>
      <c r="G16" s="7">
        <f t="shared" si="1"/>
        <v>0.0641019853558563</v>
      </c>
      <c r="H16" s="2">
        <v>37172</v>
      </c>
      <c r="I16" s="2">
        <v>24</v>
      </c>
      <c r="J16" s="7">
        <f t="shared" si="2"/>
        <v>0.0645647261379533</v>
      </c>
      <c r="K16" s="9">
        <f t="shared" si="3"/>
        <v>448217</v>
      </c>
      <c r="L16" s="9">
        <f t="shared" si="4"/>
        <v>20382</v>
      </c>
      <c r="M16" s="7">
        <f t="shared" si="5"/>
        <v>4.547350948312983</v>
      </c>
    </row>
    <row r="17" spans="1:13" ht="12.75">
      <c r="A17" s="6" t="s">
        <v>20</v>
      </c>
      <c r="B17" s="2">
        <v>726784</v>
      </c>
      <c r="C17" s="2">
        <v>17250</v>
      </c>
      <c r="D17" s="7">
        <f t="shared" si="0"/>
        <v>2.3734699718210637</v>
      </c>
      <c r="E17" s="2">
        <v>80659</v>
      </c>
      <c r="F17" s="2">
        <v>8740</v>
      </c>
      <c r="G17" s="7">
        <f t="shared" si="1"/>
        <v>10.835740586915286</v>
      </c>
      <c r="H17" s="2">
        <v>35605</v>
      </c>
      <c r="I17" s="8">
        <v>88</v>
      </c>
      <c r="J17" s="7">
        <f t="shared" si="2"/>
        <v>0.2471562982727145</v>
      </c>
      <c r="K17" s="9">
        <f t="shared" si="3"/>
        <v>843048</v>
      </c>
      <c r="L17" s="9">
        <f t="shared" si="4"/>
        <v>26078</v>
      </c>
      <c r="M17" s="7">
        <f t="shared" si="5"/>
        <v>3.093299551152485</v>
      </c>
    </row>
    <row r="18" spans="1:13" ht="12.75">
      <c r="A18" s="6" t="s">
        <v>21</v>
      </c>
      <c r="B18" s="2">
        <v>4115677</v>
      </c>
      <c r="C18" s="2">
        <f>81181</f>
        <v>81181</v>
      </c>
      <c r="D18" s="7">
        <f t="shared" si="0"/>
        <v>1.9724822914917766</v>
      </c>
      <c r="E18" s="2">
        <v>525263</v>
      </c>
      <c r="F18" s="2">
        <v>4375</v>
      </c>
      <c r="G18" s="7">
        <f t="shared" si="1"/>
        <v>0.8329160820389024</v>
      </c>
      <c r="H18" s="2">
        <v>119658</v>
      </c>
      <c r="I18" s="2">
        <f>1124</f>
        <v>1124</v>
      </c>
      <c r="J18" s="7">
        <f t="shared" si="2"/>
        <v>0.9393437964866537</v>
      </c>
      <c r="K18" s="9">
        <f t="shared" si="3"/>
        <v>4760598</v>
      </c>
      <c r="L18" s="9">
        <f t="shared" si="4"/>
        <v>86680</v>
      </c>
      <c r="M18" s="7">
        <f t="shared" si="5"/>
        <v>1.8207796583538456</v>
      </c>
    </row>
    <row r="19" spans="1:13" ht="12.75">
      <c r="A19" s="6" t="s">
        <v>22</v>
      </c>
      <c r="B19" s="2">
        <v>371216</v>
      </c>
      <c r="C19" s="2">
        <v>10075</v>
      </c>
      <c r="D19" s="7">
        <f t="shared" si="0"/>
        <v>2.7140532735657947</v>
      </c>
      <c r="E19" s="2">
        <v>105951</v>
      </c>
      <c r="F19" s="2">
        <f>867+10</f>
        <v>877</v>
      </c>
      <c r="G19" s="7">
        <f t="shared" si="1"/>
        <v>0.827741125614671</v>
      </c>
      <c r="H19" s="2">
        <v>49997</v>
      </c>
      <c r="I19" s="2">
        <f>39</f>
        <v>39</v>
      </c>
      <c r="J19" s="7">
        <f t="shared" si="2"/>
        <v>0.07800468028081685</v>
      </c>
      <c r="K19" s="9">
        <f t="shared" si="3"/>
        <v>527164</v>
      </c>
      <c r="L19" s="9">
        <f t="shared" si="4"/>
        <v>10991</v>
      </c>
      <c r="M19" s="7">
        <f t="shared" si="5"/>
        <v>2.08492992692976</v>
      </c>
    </row>
    <row r="20" spans="1:13" ht="12.75">
      <c r="A20" s="6" t="s">
        <v>23</v>
      </c>
      <c r="B20" s="2">
        <v>389453</v>
      </c>
      <c r="C20" s="2">
        <v>6346</v>
      </c>
      <c r="D20" s="7">
        <f t="shared" si="0"/>
        <v>1.6294649161773052</v>
      </c>
      <c r="E20" s="2">
        <v>166593</v>
      </c>
      <c r="F20" s="2">
        <f>798+4+1</f>
        <v>803</v>
      </c>
      <c r="G20" s="7">
        <f t="shared" si="1"/>
        <v>0.4820130497679974</v>
      </c>
      <c r="H20" s="2">
        <v>27741</v>
      </c>
      <c r="I20" s="2">
        <f>165</f>
        <v>165</v>
      </c>
      <c r="J20" s="7">
        <f t="shared" si="2"/>
        <v>0.5947874986482102</v>
      </c>
      <c r="K20" s="9">
        <f t="shared" si="3"/>
        <v>583787</v>
      </c>
      <c r="L20" s="9">
        <f t="shared" si="4"/>
        <v>7314</v>
      </c>
      <c r="M20" s="7">
        <f t="shared" si="5"/>
        <v>1.2528542088124606</v>
      </c>
    </row>
    <row r="21" spans="1:13" ht="12.75">
      <c r="A21" s="6" t="s">
        <v>24</v>
      </c>
      <c r="B21" s="8">
        <v>1485845</v>
      </c>
      <c r="C21" s="2">
        <f>29817</f>
        <v>29817</v>
      </c>
      <c r="D21" s="7">
        <f t="shared" si="0"/>
        <v>2.006736907281715</v>
      </c>
      <c r="E21" s="2">
        <v>359850</v>
      </c>
      <c r="F21" s="2">
        <f>1669+103+9</f>
        <v>1781</v>
      </c>
      <c r="G21" s="7">
        <f t="shared" si="1"/>
        <v>0.4949284424065583</v>
      </c>
      <c r="H21" s="2">
        <v>124045</v>
      </c>
      <c r="I21" s="2">
        <f>1896+1247</f>
        <v>3143</v>
      </c>
      <c r="J21" s="7">
        <f t="shared" si="2"/>
        <v>2.533757910435729</v>
      </c>
      <c r="K21" s="9">
        <f t="shared" si="3"/>
        <v>1969740</v>
      </c>
      <c r="L21" s="9">
        <f t="shared" si="4"/>
        <v>34741</v>
      </c>
      <c r="M21" s="7">
        <f t="shared" si="5"/>
        <v>1.7637353153208037</v>
      </c>
    </row>
    <row r="22" spans="1:13" ht="12.75">
      <c r="A22" s="6" t="s">
        <v>25</v>
      </c>
      <c r="B22" s="2">
        <v>5174632</v>
      </c>
      <c r="C22" s="2">
        <f>75639</f>
        <v>75639</v>
      </c>
      <c r="D22" s="7">
        <f t="shared" si="0"/>
        <v>1.4617271334463977</v>
      </c>
      <c r="E22" s="2">
        <v>901176</v>
      </c>
      <c r="F22" s="2">
        <v>30079</v>
      </c>
      <c r="G22" s="7">
        <f t="shared" si="1"/>
        <v>3.337749784725736</v>
      </c>
      <c r="H22" s="2">
        <v>691952</v>
      </c>
      <c r="I22" s="2">
        <v>3864</v>
      </c>
      <c r="J22" s="7">
        <f t="shared" si="2"/>
        <v>0.5584202372418896</v>
      </c>
      <c r="K22" s="9">
        <f t="shared" si="3"/>
        <v>6767760</v>
      </c>
      <c r="L22" s="9">
        <f t="shared" si="4"/>
        <v>109582</v>
      </c>
      <c r="M22" s="7">
        <f t="shared" si="5"/>
        <v>1.6191768029599158</v>
      </c>
    </row>
    <row r="23" spans="1:13" ht="12.75">
      <c r="A23" s="6" t="s">
        <v>26</v>
      </c>
      <c r="B23" s="2">
        <v>147901</v>
      </c>
      <c r="C23" s="2">
        <f>3608</f>
        <v>3608</v>
      </c>
      <c r="D23" s="7">
        <f t="shared" si="0"/>
        <v>2.439469645235665</v>
      </c>
      <c r="E23" s="2">
        <v>20943</v>
      </c>
      <c r="F23" s="2">
        <v>33</v>
      </c>
      <c r="G23" s="7">
        <f t="shared" si="1"/>
        <v>0.15757054863200115</v>
      </c>
      <c r="H23" s="2">
        <v>16712</v>
      </c>
      <c r="I23" s="2">
        <v>0</v>
      </c>
      <c r="J23" s="7">
        <f t="shared" si="2"/>
        <v>0</v>
      </c>
      <c r="K23" s="9">
        <f t="shared" si="3"/>
        <v>185556</v>
      </c>
      <c r="L23" s="9">
        <f t="shared" si="4"/>
        <v>3641</v>
      </c>
      <c r="M23" s="7">
        <f t="shared" si="5"/>
        <v>1.9622108689560027</v>
      </c>
    </row>
    <row r="24" spans="1:13" ht="12.75">
      <c r="A24" s="6" t="s">
        <v>27</v>
      </c>
      <c r="B24" s="2">
        <v>543798</v>
      </c>
      <c r="C24" s="2">
        <f>8550</f>
        <v>8550</v>
      </c>
      <c r="D24" s="7">
        <f t="shared" si="0"/>
        <v>1.572274999172487</v>
      </c>
      <c r="E24" s="2">
        <v>756916</v>
      </c>
      <c r="F24" s="2">
        <v>517</v>
      </c>
      <c r="G24" s="7">
        <f t="shared" si="1"/>
        <v>0.06830348413826633</v>
      </c>
      <c r="H24" s="2">
        <v>36155</v>
      </c>
      <c r="I24" s="8">
        <v>0</v>
      </c>
      <c r="J24" s="7">
        <f t="shared" si="2"/>
        <v>0</v>
      </c>
      <c r="K24" s="9">
        <f t="shared" si="3"/>
        <v>1336869</v>
      </c>
      <c r="L24" s="9">
        <f t="shared" si="4"/>
        <v>9067</v>
      </c>
      <c r="M24" s="7">
        <f t="shared" si="5"/>
        <v>0.6782265128445644</v>
      </c>
    </row>
    <row r="25" spans="1:13" ht="12.75">
      <c r="A25" s="6" t="s">
        <v>28</v>
      </c>
      <c r="B25" s="2">
        <v>669567</v>
      </c>
      <c r="C25" s="2">
        <f>28584</f>
        <v>28584</v>
      </c>
      <c r="D25" s="7">
        <f t="shared" si="0"/>
        <v>4.269027595446012</v>
      </c>
      <c r="E25" s="2">
        <v>109518</v>
      </c>
      <c r="F25" s="2">
        <v>1449</v>
      </c>
      <c r="G25" s="7">
        <f t="shared" si="1"/>
        <v>1.3230701802443434</v>
      </c>
      <c r="H25" s="2">
        <v>39603</v>
      </c>
      <c r="I25" s="2">
        <f>213</f>
        <v>213</v>
      </c>
      <c r="J25" s="7">
        <f t="shared" si="2"/>
        <v>0.5378380425725324</v>
      </c>
      <c r="K25" s="9">
        <f t="shared" si="3"/>
        <v>818688</v>
      </c>
      <c r="L25" s="9">
        <f t="shared" si="4"/>
        <v>30246</v>
      </c>
      <c r="M25" s="7">
        <f t="shared" si="5"/>
        <v>3.694447701688555</v>
      </c>
    </row>
    <row r="26" spans="1:13" ht="12.75">
      <c r="A26" s="6" t="s">
        <v>29</v>
      </c>
      <c r="B26" s="2">
        <v>446465</v>
      </c>
      <c r="C26" s="2">
        <v>7812</v>
      </c>
      <c r="D26" s="7">
        <f t="shared" si="0"/>
        <v>1.7497452207899837</v>
      </c>
      <c r="E26" s="2">
        <v>51064</v>
      </c>
      <c r="F26" s="8">
        <f>189+170+11</f>
        <v>370</v>
      </c>
      <c r="G26" s="7">
        <f t="shared" si="1"/>
        <v>0.7245809180636065</v>
      </c>
      <c r="H26" s="2">
        <v>51578</v>
      </c>
      <c r="I26" s="2">
        <f>509</f>
        <v>509</v>
      </c>
      <c r="J26" s="7">
        <f t="shared" si="2"/>
        <v>0.9868548605994805</v>
      </c>
      <c r="K26" s="9">
        <f t="shared" si="3"/>
        <v>549107</v>
      </c>
      <c r="L26" s="9">
        <f t="shared" si="4"/>
        <v>8691</v>
      </c>
      <c r="M26" s="7">
        <f t="shared" si="5"/>
        <v>1.5827516312849774</v>
      </c>
    </row>
    <row r="27" spans="1:13" ht="12.75">
      <c r="A27" s="6" t="s">
        <v>30</v>
      </c>
      <c r="B27" s="2">
        <v>2341571</v>
      </c>
      <c r="C27" s="2">
        <v>50957</v>
      </c>
      <c r="D27" s="7">
        <f t="shared" si="0"/>
        <v>2.176188550336505</v>
      </c>
      <c r="E27" s="2">
        <v>1225375</v>
      </c>
      <c r="F27" s="2">
        <f>4044+16810+1112</f>
        <v>21966</v>
      </c>
      <c r="G27" s="7">
        <f t="shared" si="1"/>
        <v>1.7925941038457616</v>
      </c>
      <c r="H27" s="2">
        <v>254909</v>
      </c>
      <c r="I27" s="2">
        <v>213</v>
      </c>
      <c r="J27" s="7">
        <f t="shared" si="2"/>
        <v>0.08355923094123785</v>
      </c>
      <c r="K27" s="9">
        <f t="shared" si="3"/>
        <v>3821855</v>
      </c>
      <c r="L27" s="9">
        <f t="shared" si="4"/>
        <v>73136</v>
      </c>
      <c r="M27" s="7">
        <f t="shared" si="5"/>
        <v>1.9136257131680818</v>
      </c>
    </row>
    <row r="28" spans="1:13" ht="12.75">
      <c r="A28" s="6" t="s">
        <v>31</v>
      </c>
      <c r="B28" s="8">
        <v>2088322</v>
      </c>
      <c r="C28" s="2">
        <v>25959</v>
      </c>
      <c r="D28" s="7">
        <f t="shared" si="0"/>
        <v>1.2430554291914753</v>
      </c>
      <c r="E28" s="2">
        <v>672882</v>
      </c>
      <c r="F28" s="2">
        <v>3773</v>
      </c>
      <c r="G28" s="7">
        <f t="shared" si="1"/>
        <v>0.5607223852027547</v>
      </c>
      <c r="H28" s="2">
        <v>216191</v>
      </c>
      <c r="I28" s="2">
        <v>47</v>
      </c>
      <c r="J28" s="7">
        <f t="shared" si="2"/>
        <v>0.021740035431632214</v>
      </c>
      <c r="K28" s="9">
        <f t="shared" si="3"/>
        <v>2977395</v>
      </c>
      <c r="L28" s="9">
        <f t="shared" si="4"/>
        <v>29779</v>
      </c>
      <c r="M28" s="7">
        <f t="shared" si="5"/>
        <v>1.0001696113548926</v>
      </c>
    </row>
    <row r="29" spans="1:13" ht="12.75">
      <c r="A29" s="6" t="s">
        <v>32</v>
      </c>
      <c r="B29" s="8">
        <v>410773</v>
      </c>
      <c r="C29" s="2">
        <v>29416</v>
      </c>
      <c r="D29" s="7">
        <f t="shared" si="0"/>
        <v>7.1611327911036025</v>
      </c>
      <c r="E29" s="2">
        <v>93823</v>
      </c>
      <c r="F29" s="2">
        <f>287+82</f>
        <v>369</v>
      </c>
      <c r="G29" s="7">
        <f t="shared" si="1"/>
        <v>0.39329375526256893</v>
      </c>
      <c r="H29" s="2">
        <v>29312</v>
      </c>
      <c r="I29" s="2">
        <v>113</v>
      </c>
      <c r="J29" s="7">
        <f t="shared" si="2"/>
        <v>0.38550764192139736</v>
      </c>
      <c r="K29" s="9">
        <f t="shared" si="3"/>
        <v>533908</v>
      </c>
      <c r="L29" s="9">
        <f t="shared" si="4"/>
        <v>29898</v>
      </c>
      <c r="M29" s="7">
        <f t="shared" si="5"/>
        <v>5.599841171138099</v>
      </c>
    </row>
    <row r="30" spans="1:13" ht="12.75">
      <c r="A30" s="6" t="s">
        <v>33</v>
      </c>
      <c r="B30" s="2">
        <v>336463</v>
      </c>
      <c r="C30" s="2">
        <v>17983</v>
      </c>
      <c r="D30" s="7">
        <f t="shared" si="0"/>
        <v>5.344718438580171</v>
      </c>
      <c r="E30" s="2">
        <v>88542</v>
      </c>
      <c r="F30" s="2">
        <v>3258</v>
      </c>
      <c r="G30" s="7">
        <f t="shared" si="1"/>
        <v>3.6796096767635698</v>
      </c>
      <c r="H30" s="2">
        <v>4984</v>
      </c>
      <c r="I30" s="2">
        <v>2155</v>
      </c>
      <c r="J30" s="7">
        <f t="shared" si="2"/>
        <v>43.23836276083467</v>
      </c>
      <c r="K30" s="9">
        <f t="shared" si="3"/>
        <v>429989</v>
      </c>
      <c r="L30" s="9">
        <f t="shared" si="4"/>
        <v>23396</v>
      </c>
      <c r="M30" s="7">
        <f t="shared" si="5"/>
        <v>5.441069422706162</v>
      </c>
    </row>
    <row r="31" spans="1:13" ht="12.75">
      <c r="A31" s="6" t="s">
        <v>34</v>
      </c>
      <c r="B31" s="2">
        <v>317412</v>
      </c>
      <c r="C31" s="2">
        <f>4559</f>
        <v>4559</v>
      </c>
      <c r="D31" s="7">
        <f t="shared" si="0"/>
        <v>1.4363036054087432</v>
      </c>
      <c r="E31" s="2">
        <v>44795</v>
      </c>
      <c r="F31" s="2">
        <f>79</f>
        <v>79</v>
      </c>
      <c r="G31" s="7">
        <f t="shared" si="1"/>
        <v>0.17635896863489228</v>
      </c>
      <c r="H31" s="2">
        <v>15498</v>
      </c>
      <c r="I31" s="2">
        <v>0</v>
      </c>
      <c r="J31" s="7">
        <f t="shared" si="2"/>
        <v>0</v>
      </c>
      <c r="K31" s="9">
        <f t="shared" si="3"/>
        <v>377705</v>
      </c>
      <c r="L31" s="9">
        <f t="shared" si="4"/>
        <v>4638</v>
      </c>
      <c r="M31" s="7">
        <f t="shared" si="5"/>
        <v>1.2279424418527687</v>
      </c>
    </row>
    <row r="32" spans="1:13" ht="12.75">
      <c r="A32" s="6" t="s">
        <v>35</v>
      </c>
      <c r="B32" s="2">
        <v>240256</v>
      </c>
      <c r="C32" s="2">
        <f>9511</f>
        <v>9511</v>
      </c>
      <c r="D32" s="7">
        <f t="shared" si="0"/>
        <v>3.958694059669686</v>
      </c>
      <c r="E32" s="2">
        <v>27222</v>
      </c>
      <c r="F32" s="2">
        <f>1891+107</f>
        <v>1998</v>
      </c>
      <c r="G32" s="7">
        <f t="shared" si="1"/>
        <v>7.339651752259202</v>
      </c>
      <c r="H32" s="2">
        <v>12575</v>
      </c>
      <c r="I32" s="2">
        <v>589</v>
      </c>
      <c r="J32" s="7">
        <f t="shared" si="2"/>
        <v>4.68389662027833</v>
      </c>
      <c r="K32" s="9">
        <f t="shared" si="3"/>
        <v>280053</v>
      </c>
      <c r="L32" s="9">
        <f t="shared" si="4"/>
        <v>12098</v>
      </c>
      <c r="M32" s="7">
        <f t="shared" si="5"/>
        <v>4.319896591002418</v>
      </c>
    </row>
    <row r="33" spans="1:13" ht="12.75">
      <c r="A33" s="6" t="s">
        <v>36</v>
      </c>
      <c r="B33" s="2">
        <v>4578104</v>
      </c>
      <c r="C33" s="2">
        <v>47239</v>
      </c>
      <c r="D33" s="7">
        <f t="shared" si="0"/>
        <v>1.0318463713362562</v>
      </c>
      <c r="E33" s="2">
        <v>1560580</v>
      </c>
      <c r="F33" s="2">
        <v>4516</v>
      </c>
      <c r="G33" s="7">
        <f t="shared" si="1"/>
        <v>0.28937958963974936</v>
      </c>
      <c r="H33" s="2">
        <v>710057</v>
      </c>
      <c r="I33" s="2">
        <f>1141+1</f>
        <v>1142</v>
      </c>
      <c r="J33" s="7">
        <f t="shared" si="2"/>
        <v>0.16083215854501823</v>
      </c>
      <c r="K33" s="9">
        <f t="shared" si="3"/>
        <v>6848741</v>
      </c>
      <c r="L33" s="9">
        <f t="shared" si="4"/>
        <v>52897</v>
      </c>
      <c r="M33" s="7">
        <f t="shared" si="5"/>
        <v>0.7723609346593776</v>
      </c>
    </row>
    <row r="34" spans="1:13" ht="12.75">
      <c r="A34" s="6" t="s">
        <v>37</v>
      </c>
      <c r="B34" s="2">
        <v>420075</v>
      </c>
      <c r="C34" s="2">
        <v>12257</v>
      </c>
      <c r="D34" s="7">
        <f t="shared" si="0"/>
        <v>2.9178122954234365</v>
      </c>
      <c r="E34" s="2">
        <v>20691</v>
      </c>
      <c r="F34" s="2">
        <f>30+10+5</f>
        <v>45</v>
      </c>
      <c r="G34" s="7">
        <f t="shared" si="1"/>
        <v>0.2174858634188778</v>
      </c>
      <c r="H34" s="2">
        <f>3454+1088</f>
        <v>4542</v>
      </c>
      <c r="I34" s="2">
        <v>0</v>
      </c>
      <c r="J34" s="7">
        <f t="shared" si="2"/>
        <v>0</v>
      </c>
      <c r="K34" s="9">
        <f t="shared" si="3"/>
        <v>445308</v>
      </c>
      <c r="L34" s="9">
        <f t="shared" si="4"/>
        <v>12302</v>
      </c>
      <c r="M34" s="7">
        <f t="shared" si="5"/>
        <v>2.7625823025860754</v>
      </c>
    </row>
    <row r="35" spans="1:13" ht="12.75">
      <c r="A35" s="6" t="s">
        <v>38</v>
      </c>
      <c r="B35" s="2">
        <v>138586</v>
      </c>
      <c r="C35" s="2">
        <v>6187</v>
      </c>
      <c r="D35" s="7">
        <f t="shared" si="0"/>
        <v>4.464375910986679</v>
      </c>
      <c r="E35" s="2">
        <v>6176</v>
      </c>
      <c r="F35" s="2">
        <f>497</f>
        <v>497</v>
      </c>
      <c r="G35" s="7">
        <f t="shared" si="1"/>
        <v>8.047279792746114</v>
      </c>
      <c r="H35" s="2">
        <v>3326</v>
      </c>
      <c r="I35" s="2">
        <v>0</v>
      </c>
      <c r="J35" s="7">
        <f t="shared" si="2"/>
        <v>0</v>
      </c>
      <c r="K35" s="9">
        <f t="shared" si="3"/>
        <v>148088</v>
      </c>
      <c r="L35" s="9">
        <f t="shared" si="4"/>
        <v>6684</v>
      </c>
      <c r="M35" s="7">
        <f t="shared" si="5"/>
        <v>4.513532494192642</v>
      </c>
    </row>
    <row r="36" spans="1:13" ht="12.75">
      <c r="A36" s="6" t="s">
        <v>39</v>
      </c>
      <c r="B36" s="2">
        <v>341186</v>
      </c>
      <c r="C36" s="2">
        <v>20707</v>
      </c>
      <c r="D36" s="7">
        <f t="shared" si="0"/>
        <v>6.069123586548099</v>
      </c>
      <c r="E36" s="2">
        <v>32792</v>
      </c>
      <c r="F36" s="2">
        <f>19+5+25</f>
        <v>49</v>
      </c>
      <c r="G36" s="7">
        <f t="shared" si="1"/>
        <v>0.1494266894364479</v>
      </c>
      <c r="H36" s="2">
        <v>11273</v>
      </c>
      <c r="I36" s="2">
        <v>0</v>
      </c>
      <c r="J36" s="7">
        <f t="shared" si="2"/>
        <v>0</v>
      </c>
      <c r="K36" s="9">
        <f t="shared" si="3"/>
        <v>385251</v>
      </c>
      <c r="L36" s="9">
        <f t="shared" si="4"/>
        <v>20756</v>
      </c>
      <c r="M36" s="7">
        <f t="shared" si="5"/>
        <v>5.38765635910095</v>
      </c>
    </row>
    <row r="37" spans="1:13" ht="12.75">
      <c r="A37" s="6" t="s">
        <v>40</v>
      </c>
      <c r="B37" s="2">
        <v>21936765</v>
      </c>
      <c r="C37" s="2">
        <v>262849</v>
      </c>
      <c r="D37" s="7">
        <f t="shared" si="0"/>
        <v>1.1982122250021825</v>
      </c>
      <c r="E37" s="2">
        <v>4290328</v>
      </c>
      <c r="F37" s="2">
        <f>60015+233+2397</f>
        <v>62645</v>
      </c>
      <c r="G37" s="7">
        <f t="shared" si="1"/>
        <v>1.460144772147957</v>
      </c>
      <c r="H37" s="2">
        <v>2720779</v>
      </c>
      <c r="I37" s="2">
        <f>22722+637+4</f>
        <v>23363</v>
      </c>
      <c r="J37" s="7">
        <f t="shared" si="2"/>
        <v>0.8586878978410227</v>
      </c>
      <c r="K37" s="9">
        <f t="shared" si="3"/>
        <v>28947872</v>
      </c>
      <c r="L37" s="9">
        <f t="shared" si="4"/>
        <v>348857</v>
      </c>
      <c r="M37" s="7">
        <f t="shared" si="5"/>
        <v>1.2051213989062823</v>
      </c>
    </row>
    <row r="38" spans="1:13" ht="12.75">
      <c r="A38" s="6" t="s">
        <v>41</v>
      </c>
      <c r="B38" s="2">
        <v>475272</v>
      </c>
      <c r="C38" s="2">
        <f>7191</f>
        <v>7191</v>
      </c>
      <c r="D38" s="7">
        <f t="shared" si="0"/>
        <v>1.5130283290410544</v>
      </c>
      <c r="E38" s="2">
        <v>76561</v>
      </c>
      <c r="F38" s="2">
        <f>22</f>
        <v>22</v>
      </c>
      <c r="G38" s="7">
        <f t="shared" si="1"/>
        <v>0.028735256854011834</v>
      </c>
      <c r="H38" s="2">
        <v>27427</v>
      </c>
      <c r="I38" s="2">
        <f>0</f>
        <v>0</v>
      </c>
      <c r="J38" s="7">
        <f t="shared" si="2"/>
        <v>0</v>
      </c>
      <c r="K38" s="9">
        <f t="shared" si="3"/>
        <v>579260</v>
      </c>
      <c r="L38" s="9">
        <f t="shared" si="4"/>
        <v>7213</v>
      </c>
      <c r="M38" s="7">
        <f t="shared" si="5"/>
        <v>1.2452094051030624</v>
      </c>
    </row>
    <row r="39" spans="1:13" ht="12.75">
      <c r="A39" s="6" t="s">
        <v>42</v>
      </c>
      <c r="B39" s="2">
        <v>1168845</v>
      </c>
      <c r="C39" s="2">
        <v>80237</v>
      </c>
      <c r="D39" s="7">
        <f t="shared" si="0"/>
        <v>6.864639879539203</v>
      </c>
      <c r="E39" s="2">
        <v>331753</v>
      </c>
      <c r="F39" s="2">
        <f>1637+13</f>
        <v>1650</v>
      </c>
      <c r="G39" s="7">
        <f t="shared" si="1"/>
        <v>0.49735797415547106</v>
      </c>
      <c r="H39" s="2">
        <v>143023</v>
      </c>
      <c r="I39" s="2">
        <v>149</v>
      </c>
      <c r="J39" s="7">
        <f t="shared" si="2"/>
        <v>0.10417904812512672</v>
      </c>
      <c r="K39" s="9">
        <f t="shared" si="3"/>
        <v>1643621</v>
      </c>
      <c r="L39" s="9">
        <f t="shared" si="4"/>
        <v>82036</v>
      </c>
      <c r="M39" s="7">
        <f t="shared" si="5"/>
        <v>4.9911749728191594</v>
      </c>
    </row>
    <row r="40" spans="1:13" ht="12.75">
      <c r="A40" s="6" t="s">
        <v>43</v>
      </c>
      <c r="B40" s="2">
        <v>2949074</v>
      </c>
      <c r="C40" s="2">
        <v>19460</v>
      </c>
      <c r="D40" s="7">
        <f t="shared" si="0"/>
        <v>0.6598681484425281</v>
      </c>
      <c r="E40" s="2">
        <v>913419</v>
      </c>
      <c r="F40" s="2">
        <f>8649+39+502</f>
        <v>9190</v>
      </c>
      <c r="G40" s="7">
        <f t="shared" si="1"/>
        <v>1.0061100108493473</v>
      </c>
      <c r="H40" s="2">
        <v>391201</v>
      </c>
      <c r="I40" s="2">
        <f>2282</f>
        <v>2282</v>
      </c>
      <c r="J40" s="7">
        <f t="shared" si="2"/>
        <v>0.5833318421987673</v>
      </c>
      <c r="K40" s="9">
        <f t="shared" si="3"/>
        <v>4253694</v>
      </c>
      <c r="L40" s="9">
        <f t="shared" si="4"/>
        <v>30932</v>
      </c>
      <c r="M40" s="7">
        <f t="shared" si="5"/>
        <v>0.7271797172057981</v>
      </c>
    </row>
    <row r="41" spans="1:13" ht="12.75">
      <c r="A41" s="6" t="s">
        <v>44</v>
      </c>
      <c r="B41" s="2">
        <v>224050</v>
      </c>
      <c r="C41" s="2">
        <v>7281</v>
      </c>
      <c r="D41" s="7">
        <f t="shared" si="0"/>
        <v>3.2497210444097298</v>
      </c>
      <c r="E41" s="2">
        <v>119496</v>
      </c>
      <c r="F41" s="2">
        <v>382</v>
      </c>
      <c r="G41" s="7">
        <f t="shared" si="1"/>
        <v>0.31967597241748674</v>
      </c>
      <c r="H41" s="2">
        <v>25550</v>
      </c>
      <c r="I41" s="2">
        <v>10</v>
      </c>
      <c r="J41" s="7">
        <f t="shared" si="2"/>
        <v>0.03913894324853229</v>
      </c>
      <c r="K41" s="9">
        <f t="shared" si="3"/>
        <v>369096</v>
      </c>
      <c r="L41" s="9">
        <f t="shared" si="4"/>
        <v>7673</v>
      </c>
      <c r="M41" s="7">
        <f t="shared" si="5"/>
        <v>2.078862951644017</v>
      </c>
    </row>
    <row r="42" spans="1:13" ht="12.75">
      <c r="A42" s="1" t="s">
        <v>45</v>
      </c>
      <c r="B42" s="11">
        <v>413508</v>
      </c>
      <c r="C42" s="2">
        <v>13238</v>
      </c>
      <c r="D42" s="7">
        <f t="shared" si="0"/>
        <v>3.20138909041663</v>
      </c>
      <c r="E42" s="2">
        <v>387177</v>
      </c>
      <c r="F42" s="2">
        <f>244+689+8+206</f>
        <v>1147</v>
      </c>
      <c r="G42" s="7">
        <f t="shared" si="1"/>
        <v>0.29624693615581504</v>
      </c>
      <c r="H42" s="2">
        <v>139082</v>
      </c>
      <c r="I42" s="2">
        <v>284</v>
      </c>
      <c r="J42" s="7">
        <f t="shared" si="2"/>
        <v>0.204196085762356</v>
      </c>
      <c r="K42" s="9">
        <f t="shared" si="3"/>
        <v>939767</v>
      </c>
      <c r="L42" s="9">
        <f t="shared" si="4"/>
        <v>14669</v>
      </c>
      <c r="M42" s="7">
        <f t="shared" si="5"/>
        <v>1.560918823495611</v>
      </c>
    </row>
    <row r="43" spans="1:13" ht="12.75">
      <c r="A43" s="6" t="s">
        <v>46</v>
      </c>
      <c r="B43" s="2">
        <v>688598</v>
      </c>
      <c r="C43" s="2">
        <v>17799</v>
      </c>
      <c r="D43" s="7">
        <f t="shared" si="0"/>
        <v>2.5848172663876454</v>
      </c>
      <c r="E43" s="2">
        <v>36818</v>
      </c>
      <c r="F43" s="2">
        <f>408+137</f>
        <v>545</v>
      </c>
      <c r="G43" s="7">
        <f t="shared" si="1"/>
        <v>1.4802542234776468</v>
      </c>
      <c r="H43" s="2">
        <v>26184</v>
      </c>
      <c r="I43" s="2">
        <v>129</v>
      </c>
      <c r="J43" s="7">
        <f t="shared" si="2"/>
        <v>0.4926672777268561</v>
      </c>
      <c r="K43" s="9">
        <f t="shared" si="3"/>
        <v>751600</v>
      </c>
      <c r="L43" s="9">
        <f t="shared" si="4"/>
        <v>18473</v>
      </c>
      <c r="M43" s="7">
        <f t="shared" si="5"/>
        <v>2.457823310271421</v>
      </c>
    </row>
    <row r="44" spans="1:13" ht="12.75">
      <c r="A44" s="6" t="s">
        <v>47</v>
      </c>
      <c r="B44" s="2">
        <v>1007402</v>
      </c>
      <c r="C44" s="2">
        <v>16601</v>
      </c>
      <c r="D44" s="7">
        <f t="shared" si="0"/>
        <v>1.6479022277104869</v>
      </c>
      <c r="E44" s="2">
        <v>173222</v>
      </c>
      <c r="F44" s="2">
        <v>737</v>
      </c>
      <c r="G44" s="7">
        <f t="shared" si="1"/>
        <v>0.4254655875119789</v>
      </c>
      <c r="H44" s="2">
        <v>35981</v>
      </c>
      <c r="I44" s="2">
        <v>47</v>
      </c>
      <c r="J44" s="7">
        <f t="shared" si="2"/>
        <v>0.13062449626191602</v>
      </c>
      <c r="K44" s="9">
        <f t="shared" si="3"/>
        <v>1216605</v>
      </c>
      <c r="L44" s="9">
        <f t="shared" si="4"/>
        <v>17385</v>
      </c>
      <c r="M44" s="7">
        <f t="shared" si="5"/>
        <v>1.4289765371669523</v>
      </c>
    </row>
    <row r="45" spans="1:13" ht="12.75">
      <c r="A45" s="6" t="s">
        <v>48</v>
      </c>
      <c r="B45" s="2">
        <v>1265324</v>
      </c>
      <c r="C45" s="2">
        <v>25332</v>
      </c>
      <c r="D45" s="7">
        <f t="shared" si="0"/>
        <v>2.0020168747293186</v>
      </c>
      <c r="E45" s="2">
        <v>423604</v>
      </c>
      <c r="F45" s="8">
        <v>6108</v>
      </c>
      <c r="G45" s="7">
        <f t="shared" si="1"/>
        <v>1.441912729813694</v>
      </c>
      <c r="H45" s="2">
        <v>157818</v>
      </c>
      <c r="I45" s="2">
        <f>4008+739</f>
        <v>4747</v>
      </c>
      <c r="J45" s="7">
        <f t="shared" si="2"/>
        <v>3.007895170386141</v>
      </c>
      <c r="K45" s="9">
        <f t="shared" si="3"/>
        <v>1846746</v>
      </c>
      <c r="L45" s="9">
        <f t="shared" si="4"/>
        <v>36187</v>
      </c>
      <c r="M45" s="7">
        <f t="shared" si="5"/>
        <v>1.959500656830988</v>
      </c>
    </row>
    <row r="46" spans="1:13" ht="12.75">
      <c r="A46" s="6" t="s">
        <v>49</v>
      </c>
      <c r="B46" s="2">
        <v>940473</v>
      </c>
      <c r="C46" s="2">
        <v>20713</v>
      </c>
      <c r="D46" s="7">
        <f t="shared" si="0"/>
        <v>2.2024024081499416</v>
      </c>
      <c r="E46" s="2">
        <v>238719</v>
      </c>
      <c r="F46" s="2">
        <v>928</v>
      </c>
      <c r="G46" s="7">
        <f t="shared" si="1"/>
        <v>0.38874157482228056</v>
      </c>
      <c r="H46" s="2">
        <v>96037</v>
      </c>
      <c r="I46" s="2">
        <v>707</v>
      </c>
      <c r="J46" s="7">
        <f t="shared" si="2"/>
        <v>0.7361745993731582</v>
      </c>
      <c r="K46" s="9">
        <f t="shared" si="3"/>
        <v>1275229</v>
      </c>
      <c r="L46" s="9">
        <f t="shared" si="4"/>
        <v>22348</v>
      </c>
      <c r="M46" s="7">
        <f t="shared" si="5"/>
        <v>1.7524695564482928</v>
      </c>
    </row>
    <row r="47" spans="1:13" ht="12.75">
      <c r="A47" s="6" t="s">
        <v>50</v>
      </c>
      <c r="B47" s="2">
        <v>302041</v>
      </c>
      <c r="C47" s="2">
        <v>5464</v>
      </c>
      <c r="D47" s="7">
        <f t="shared" si="0"/>
        <v>1.8090259269436932</v>
      </c>
      <c r="E47" s="2">
        <v>28372</v>
      </c>
      <c r="F47" s="2">
        <f>1703</f>
        <v>1703</v>
      </c>
      <c r="G47" s="7">
        <f t="shared" si="1"/>
        <v>6.002396729169604</v>
      </c>
      <c r="H47" s="2">
        <v>17275</v>
      </c>
      <c r="I47" s="2">
        <v>0</v>
      </c>
      <c r="J47" s="7">
        <f t="shared" si="2"/>
        <v>0</v>
      </c>
      <c r="K47" s="9">
        <f t="shared" si="3"/>
        <v>347688</v>
      </c>
      <c r="L47" s="9">
        <f t="shared" si="4"/>
        <v>7167</v>
      </c>
      <c r="M47" s="7">
        <f t="shared" si="5"/>
        <v>2.0613308483467936</v>
      </c>
    </row>
    <row r="48" spans="1:13" ht="12.75">
      <c r="A48" s="6" t="s">
        <v>51</v>
      </c>
      <c r="B48" s="2">
        <v>1399735</v>
      </c>
      <c r="C48" s="2">
        <f>72165</f>
        <v>72165</v>
      </c>
      <c r="D48" s="7">
        <f t="shared" si="0"/>
        <v>5.155618742119044</v>
      </c>
      <c r="E48" s="2">
        <v>302036</v>
      </c>
      <c r="F48" s="2">
        <v>16615</v>
      </c>
      <c r="G48" s="7">
        <f>F48/E48*100</f>
        <v>5.5009998808089104</v>
      </c>
      <c r="H48" s="2">
        <v>247590</v>
      </c>
      <c r="I48" s="2">
        <v>198</v>
      </c>
      <c r="J48" s="7">
        <f t="shared" si="2"/>
        <v>0.07997091966557615</v>
      </c>
      <c r="K48" s="9">
        <f t="shared" si="3"/>
        <v>1949361</v>
      </c>
      <c r="L48" s="9">
        <f t="shared" si="4"/>
        <v>88978</v>
      </c>
      <c r="M48" s="7">
        <f t="shared" si="5"/>
        <v>4.564470100715055</v>
      </c>
    </row>
    <row r="49" spans="1:13" ht="12.75">
      <c r="A49" s="6" t="s">
        <v>52</v>
      </c>
      <c r="B49" s="2">
        <v>408650</v>
      </c>
      <c r="C49" s="2">
        <v>13217</v>
      </c>
      <c r="D49" s="7">
        <f t="shared" si="0"/>
        <v>3.23430808760553</v>
      </c>
      <c r="E49" s="2">
        <v>1140178</v>
      </c>
      <c r="F49" s="2">
        <f>9788+1297</f>
        <v>11085</v>
      </c>
      <c r="G49" s="7">
        <f aca="true" t="shared" si="6" ref="G49:G112">F49/E49*100</f>
        <v>0.9722166188086422</v>
      </c>
      <c r="H49" s="2">
        <v>104852</v>
      </c>
      <c r="I49" s="2">
        <v>0</v>
      </c>
      <c r="J49" s="7">
        <f t="shared" si="2"/>
        <v>0</v>
      </c>
      <c r="K49" s="9">
        <f t="shared" si="3"/>
        <v>1653680</v>
      </c>
      <c r="L49" s="9">
        <f t="shared" si="4"/>
        <v>24302</v>
      </c>
      <c r="M49" s="7">
        <f t="shared" si="5"/>
        <v>1.4695708964249432</v>
      </c>
    </row>
    <row r="50" spans="1:13" ht="12.75">
      <c r="A50" s="6" t="s">
        <v>53</v>
      </c>
      <c r="B50" s="2">
        <v>4722000</v>
      </c>
      <c r="C50" s="2">
        <v>67142</v>
      </c>
      <c r="D50" s="7">
        <f t="shared" si="0"/>
        <v>1.4218975010588732</v>
      </c>
      <c r="E50" s="2">
        <v>1451435</v>
      </c>
      <c r="F50" s="2">
        <f>5468+489</f>
        <v>5957</v>
      </c>
      <c r="G50" s="7">
        <f t="shared" si="6"/>
        <v>0.4104214105350911</v>
      </c>
      <c r="H50" s="2">
        <v>463695</v>
      </c>
      <c r="I50" s="2">
        <v>5507</v>
      </c>
      <c r="J50" s="7">
        <f t="shared" si="2"/>
        <v>1.1876341129406183</v>
      </c>
      <c r="K50" s="9">
        <f aca="true" t="shared" si="7" ref="K50:K63">(B50+E50+H50)</f>
        <v>6637130</v>
      </c>
      <c r="L50" s="9">
        <f aca="true" t="shared" si="8" ref="L50:L63">(C50+F50+I50)</f>
        <v>78606</v>
      </c>
      <c r="M50" s="7">
        <f t="shared" si="5"/>
        <v>1.184337205991144</v>
      </c>
    </row>
    <row r="51" spans="1:13" ht="12.75">
      <c r="A51" s="6" t="s">
        <v>54</v>
      </c>
      <c r="B51" s="2">
        <v>677643</v>
      </c>
      <c r="C51" s="2">
        <v>45349</v>
      </c>
      <c r="D51" s="7">
        <f t="shared" si="0"/>
        <v>6.692166819401956</v>
      </c>
      <c r="E51" s="2">
        <v>589432</v>
      </c>
      <c r="F51" s="2">
        <f>7365+293+17</f>
        <v>7675</v>
      </c>
      <c r="G51" s="7">
        <f t="shared" si="6"/>
        <v>1.3021010057139755</v>
      </c>
      <c r="H51" s="2">
        <v>87725</v>
      </c>
      <c r="I51" s="2">
        <v>122</v>
      </c>
      <c r="J51" s="7">
        <f t="shared" si="2"/>
        <v>0.1390709603875748</v>
      </c>
      <c r="K51" s="9">
        <f t="shared" si="7"/>
        <v>1354800</v>
      </c>
      <c r="L51" s="9">
        <f t="shared" si="8"/>
        <v>53146</v>
      </c>
      <c r="M51" s="7">
        <f t="shared" si="5"/>
        <v>3.922793032181872</v>
      </c>
    </row>
    <row r="52" spans="1:13" ht="12.75">
      <c r="A52" s="6" t="s">
        <v>55</v>
      </c>
      <c r="B52" s="2">
        <v>825169</v>
      </c>
      <c r="C52" s="2">
        <v>11565</v>
      </c>
      <c r="D52" s="7">
        <f t="shared" si="0"/>
        <v>1.4015310802999141</v>
      </c>
      <c r="E52" s="2">
        <v>245332</v>
      </c>
      <c r="F52" s="2">
        <f>5</f>
        <v>5</v>
      </c>
      <c r="G52" s="7">
        <f t="shared" si="6"/>
        <v>0.0020380545546443184</v>
      </c>
      <c r="H52" s="2">
        <v>47961</v>
      </c>
      <c r="I52" s="2">
        <v>0</v>
      </c>
      <c r="J52" s="7">
        <f t="shared" si="2"/>
        <v>0</v>
      </c>
      <c r="K52" s="9">
        <f t="shared" si="7"/>
        <v>1118462</v>
      </c>
      <c r="L52" s="9">
        <f t="shared" si="8"/>
        <v>11570</v>
      </c>
      <c r="M52" s="7">
        <f t="shared" si="5"/>
        <v>1.034456244378441</v>
      </c>
    </row>
    <row r="53" spans="1:13" ht="12.75">
      <c r="A53" s="6" t="s">
        <v>56</v>
      </c>
      <c r="B53" s="2">
        <v>579668</v>
      </c>
      <c r="C53" s="2">
        <v>14760</v>
      </c>
      <c r="D53" s="7">
        <f t="shared" si="0"/>
        <v>2.5462851149278554</v>
      </c>
      <c r="E53" s="2">
        <v>181190</v>
      </c>
      <c r="F53" s="2">
        <f>846+95</f>
        <v>941</v>
      </c>
      <c r="G53" s="7">
        <f t="shared" si="6"/>
        <v>0.5193443346763066</v>
      </c>
      <c r="H53" s="2">
        <v>12316</v>
      </c>
      <c r="I53" s="2">
        <f>14+80</f>
        <v>94</v>
      </c>
      <c r="J53" s="7">
        <f t="shared" si="2"/>
        <v>0.7632348164988633</v>
      </c>
      <c r="K53" s="9">
        <f t="shared" si="7"/>
        <v>773174</v>
      </c>
      <c r="L53" s="9">
        <f t="shared" si="8"/>
        <v>15795</v>
      </c>
      <c r="M53" s="7">
        <f t="shared" si="5"/>
        <v>2.04287779982255</v>
      </c>
    </row>
    <row r="54" spans="1:13" ht="12.75">
      <c r="A54" s="6" t="s">
        <v>57</v>
      </c>
      <c r="B54" s="2">
        <v>2053754</v>
      </c>
      <c r="C54" s="2">
        <v>27484</v>
      </c>
      <c r="D54" s="7">
        <f t="shared" si="0"/>
        <v>1.3382323296753165</v>
      </c>
      <c r="E54" s="2">
        <v>939224</v>
      </c>
      <c r="F54" s="2">
        <f>1395+65</f>
        <v>1460</v>
      </c>
      <c r="G54" s="7">
        <f t="shared" si="6"/>
        <v>0.1554474757885233</v>
      </c>
      <c r="H54" s="2">
        <v>307045</v>
      </c>
      <c r="I54" s="2">
        <v>550</v>
      </c>
      <c r="J54" s="7">
        <f t="shared" si="2"/>
        <v>0.17912683808562263</v>
      </c>
      <c r="K54" s="9">
        <f t="shared" si="7"/>
        <v>3300023</v>
      </c>
      <c r="L54" s="9">
        <f t="shared" si="8"/>
        <v>29494</v>
      </c>
      <c r="M54" s="7">
        <f t="shared" si="5"/>
        <v>0.8937513465815238</v>
      </c>
    </row>
    <row r="55" spans="1:13" ht="12.75">
      <c r="A55" s="6" t="s">
        <v>58</v>
      </c>
      <c r="B55" s="2">
        <v>711015</v>
      </c>
      <c r="C55" s="2">
        <v>15220</v>
      </c>
      <c r="D55" s="7">
        <f t="shared" si="0"/>
        <v>2.140601815714155</v>
      </c>
      <c r="E55" s="2">
        <v>172164</v>
      </c>
      <c r="F55" s="2">
        <v>2831</v>
      </c>
      <c r="G55" s="7">
        <f t="shared" si="6"/>
        <v>1.6443623521758326</v>
      </c>
      <c r="H55" s="2">
        <v>26774</v>
      </c>
      <c r="I55" s="2">
        <f>3851+2</f>
        <v>3853</v>
      </c>
      <c r="J55" s="7">
        <f t="shared" si="2"/>
        <v>14.390826921640398</v>
      </c>
      <c r="K55" s="9">
        <f t="shared" si="7"/>
        <v>909953</v>
      </c>
      <c r="L55" s="9">
        <f t="shared" si="8"/>
        <v>21904</v>
      </c>
      <c r="M55" s="7">
        <f t="shared" si="5"/>
        <v>2.4071572927392952</v>
      </c>
    </row>
    <row r="56" spans="1:13" ht="12.75">
      <c r="A56" s="6" t="s">
        <v>59</v>
      </c>
      <c r="B56" s="2">
        <v>171740</v>
      </c>
      <c r="C56" s="2">
        <v>2843</v>
      </c>
      <c r="D56" s="7">
        <f t="shared" si="0"/>
        <v>1.655409339699546</v>
      </c>
      <c r="E56" s="8">
        <v>18866</v>
      </c>
      <c r="F56" s="2">
        <v>423</v>
      </c>
      <c r="G56" s="7">
        <f t="shared" si="6"/>
        <v>2.242128697127107</v>
      </c>
      <c r="H56" s="2">
        <v>7939</v>
      </c>
      <c r="I56" s="2">
        <v>16</v>
      </c>
      <c r="J56" s="7">
        <f t="shared" si="2"/>
        <v>0.20153671747071422</v>
      </c>
      <c r="K56" s="9">
        <f t="shared" si="7"/>
        <v>198545</v>
      </c>
      <c r="L56" s="9">
        <f t="shared" si="8"/>
        <v>3282</v>
      </c>
      <c r="M56" s="7">
        <f t="shared" si="5"/>
        <v>1.6530257624216171</v>
      </c>
    </row>
    <row r="57" spans="1:13" ht="12.75">
      <c r="A57" s="6" t="s">
        <v>60</v>
      </c>
      <c r="B57" s="8">
        <v>1592490</v>
      </c>
      <c r="C57" s="2">
        <v>37173</v>
      </c>
      <c r="D57" s="7">
        <f t="shared" si="0"/>
        <v>2.334268975001413</v>
      </c>
      <c r="E57" s="8">
        <v>730327</v>
      </c>
      <c r="F57" s="2">
        <f>2624+229+171</f>
        <v>3024</v>
      </c>
      <c r="G57" s="7">
        <f t="shared" si="6"/>
        <v>0.4140610986585461</v>
      </c>
      <c r="H57" s="2">
        <v>293268</v>
      </c>
      <c r="I57" s="2">
        <f>357+1</f>
        <v>358</v>
      </c>
      <c r="J57" s="7">
        <f t="shared" si="2"/>
        <v>0.12207264345240532</v>
      </c>
      <c r="K57" s="9">
        <f t="shared" si="7"/>
        <v>2616085</v>
      </c>
      <c r="L57" s="9">
        <f t="shared" si="8"/>
        <v>40555</v>
      </c>
      <c r="M57" s="7">
        <f t="shared" si="5"/>
        <v>1.5502172138902215</v>
      </c>
    </row>
    <row r="58" spans="1:13" ht="12.75">
      <c r="A58" s="6" t="s">
        <v>61</v>
      </c>
      <c r="B58" s="2">
        <v>247021</v>
      </c>
      <c r="C58" s="2">
        <v>13465</v>
      </c>
      <c r="D58" s="7">
        <f t="shared" si="0"/>
        <v>5.450953562652568</v>
      </c>
      <c r="E58" s="2">
        <v>49987</v>
      </c>
      <c r="F58" s="2">
        <v>496</v>
      </c>
      <c r="G58" s="7">
        <f t="shared" si="6"/>
        <v>0.9922579870766399</v>
      </c>
      <c r="H58" s="2">
        <v>12890</v>
      </c>
      <c r="I58" s="2">
        <v>64</v>
      </c>
      <c r="J58" s="7">
        <f t="shared" si="2"/>
        <v>0.49650892164468574</v>
      </c>
      <c r="K58" s="9">
        <f t="shared" si="7"/>
        <v>309898</v>
      </c>
      <c r="L58" s="9">
        <f t="shared" si="8"/>
        <v>14025</v>
      </c>
      <c r="M58" s="7">
        <f t="shared" si="5"/>
        <v>4.525682643966725</v>
      </c>
    </row>
    <row r="59" spans="1:13" ht="12.75">
      <c r="A59" s="6" t="s">
        <v>62</v>
      </c>
      <c r="B59" s="2">
        <v>51995012</v>
      </c>
      <c r="C59" s="8">
        <v>1170453</v>
      </c>
      <c r="D59" s="7">
        <f t="shared" si="0"/>
        <v>2.251087085045773</v>
      </c>
      <c r="E59" s="2">
        <v>13909074</v>
      </c>
      <c r="F59" s="2">
        <f>126258+8826+8050+15</f>
        <v>143149</v>
      </c>
      <c r="G59" s="7">
        <f>F59/E59*100</f>
        <v>1.0291770681498997</v>
      </c>
      <c r="H59" s="2">
        <v>11125971</v>
      </c>
      <c r="I59" s="2">
        <v>228494</v>
      </c>
      <c r="J59" s="7">
        <f t="shared" si="2"/>
        <v>2.0536994029554814</v>
      </c>
      <c r="K59" s="9">
        <f t="shared" si="7"/>
        <v>77030057</v>
      </c>
      <c r="L59" s="9">
        <f t="shared" si="8"/>
        <v>1542096</v>
      </c>
      <c r="M59" s="7">
        <f t="shared" si="5"/>
        <v>2.0019406191014504</v>
      </c>
    </row>
    <row r="60" spans="1:13" ht="12.75">
      <c r="A60" s="6" t="s">
        <v>63</v>
      </c>
      <c r="B60" s="2">
        <v>2797156</v>
      </c>
      <c r="C60" s="2">
        <v>42441</v>
      </c>
      <c r="D60" s="7">
        <f t="shared" si="0"/>
        <v>1.5172911342806765</v>
      </c>
      <c r="E60" s="2">
        <v>498107</v>
      </c>
      <c r="F60" s="2">
        <f>4483+159</f>
        <v>4642</v>
      </c>
      <c r="G60" s="7">
        <f>F60/E60*100</f>
        <v>0.9319282804698589</v>
      </c>
      <c r="H60" s="2">
        <v>173606</v>
      </c>
      <c r="I60" s="2">
        <v>489</v>
      </c>
      <c r="J60" s="7">
        <f t="shared" si="2"/>
        <v>0.2816722924322892</v>
      </c>
      <c r="K60" s="9">
        <f t="shared" si="7"/>
        <v>3468869</v>
      </c>
      <c r="L60" s="9">
        <f t="shared" si="8"/>
        <v>47572</v>
      </c>
      <c r="M60" s="7">
        <f t="shared" si="5"/>
        <v>1.3713979974452768</v>
      </c>
    </row>
    <row r="61" spans="1:13" ht="12.75">
      <c r="A61" s="1" t="s">
        <v>64</v>
      </c>
      <c r="B61" s="2">
        <v>701089</v>
      </c>
      <c r="C61" s="2">
        <v>41917</v>
      </c>
      <c r="D61" s="7">
        <f t="shared" si="0"/>
        <v>5.9788414880279115</v>
      </c>
      <c r="E61" s="2">
        <v>148237</v>
      </c>
      <c r="F61" s="2">
        <f>3608+161</f>
        <v>3769</v>
      </c>
      <c r="G61" s="7">
        <f t="shared" si="6"/>
        <v>2.542550105574182</v>
      </c>
      <c r="H61" s="2">
        <v>88669</v>
      </c>
      <c r="I61" s="2">
        <v>577</v>
      </c>
      <c r="J61" s="7">
        <f t="shared" si="2"/>
        <v>0.6507347551004297</v>
      </c>
      <c r="K61" s="9">
        <f t="shared" si="7"/>
        <v>937995</v>
      </c>
      <c r="L61" s="9">
        <f t="shared" si="8"/>
        <v>46263</v>
      </c>
      <c r="M61" s="7">
        <f t="shared" si="5"/>
        <v>4.932115842834984</v>
      </c>
    </row>
    <row r="62" spans="1:13" ht="12.75">
      <c r="A62" s="6" t="s">
        <v>65</v>
      </c>
      <c r="B62" s="2">
        <v>9839994</v>
      </c>
      <c r="C62" s="2">
        <v>128571</v>
      </c>
      <c r="D62" s="7">
        <f t="shared" si="0"/>
        <v>1.3066166503760064</v>
      </c>
      <c r="E62" s="2">
        <v>1924466</v>
      </c>
      <c r="F62" s="2">
        <f>26817+785+1107</f>
        <v>28709</v>
      </c>
      <c r="G62" s="7">
        <f t="shared" si="6"/>
        <v>1.491790449922212</v>
      </c>
      <c r="H62" s="2">
        <v>722393</v>
      </c>
      <c r="I62" s="2">
        <f>5898+5</f>
        <v>5903</v>
      </c>
      <c r="J62" s="7">
        <f t="shared" si="2"/>
        <v>0.8171452381183096</v>
      </c>
      <c r="K62" s="9">
        <f t="shared" si="7"/>
        <v>12486853</v>
      </c>
      <c r="L62" s="9">
        <f t="shared" si="8"/>
        <v>163183</v>
      </c>
      <c r="M62" s="7">
        <f t="shared" si="5"/>
        <v>1.3068384804401878</v>
      </c>
    </row>
    <row r="63" spans="1:13" ht="12.75">
      <c r="A63" s="6" t="s">
        <v>66</v>
      </c>
      <c r="B63" s="2">
        <v>506436</v>
      </c>
      <c r="C63" s="2">
        <v>20987</v>
      </c>
      <c r="D63" s="7">
        <f t="shared" si="0"/>
        <v>4.144057689421763</v>
      </c>
      <c r="E63" s="2">
        <v>354004</v>
      </c>
      <c r="F63" s="2">
        <v>1181</v>
      </c>
      <c r="G63" s="7">
        <f t="shared" si="6"/>
        <v>0.33361204958136065</v>
      </c>
      <c r="H63" s="2">
        <v>19943</v>
      </c>
      <c r="I63" s="2">
        <v>14</v>
      </c>
      <c r="J63" s="7">
        <f t="shared" si="2"/>
        <v>0.0702000702000702</v>
      </c>
      <c r="K63" s="9">
        <f t="shared" si="7"/>
        <v>880383</v>
      </c>
      <c r="L63" s="9">
        <f t="shared" si="8"/>
        <v>22182</v>
      </c>
      <c r="M63" s="7">
        <f t="shared" si="5"/>
        <v>2.5195852259755127</v>
      </c>
    </row>
    <row r="64" spans="1:13" ht="12.75">
      <c r="A64" s="6" t="s">
        <v>67</v>
      </c>
      <c r="B64" s="2">
        <v>874243</v>
      </c>
      <c r="C64" s="8">
        <v>59911</v>
      </c>
      <c r="D64" s="7">
        <f t="shared" si="0"/>
        <v>6.85290016620093</v>
      </c>
      <c r="E64" s="2">
        <v>222906</v>
      </c>
      <c r="F64" s="2">
        <f>3265+1195+434</f>
        <v>4894</v>
      </c>
      <c r="G64" s="7">
        <f t="shared" si="6"/>
        <v>2.195544310157645</v>
      </c>
      <c r="H64" s="2">
        <v>76113</v>
      </c>
      <c r="I64" s="2">
        <v>616</v>
      </c>
      <c r="J64" s="7">
        <f t="shared" si="2"/>
        <v>0.8093229803055983</v>
      </c>
      <c r="K64" s="9">
        <f aca="true" t="shared" si="9" ref="K64:K97">(B64+E64+H64)</f>
        <v>1173262</v>
      </c>
      <c r="L64" s="9">
        <f>(C64+F64+I64)</f>
        <v>65421</v>
      </c>
      <c r="M64" s="7">
        <f t="shared" si="5"/>
        <v>5.5759924040836575</v>
      </c>
    </row>
    <row r="65" spans="1:13" ht="12.75">
      <c r="A65" s="6" t="s">
        <v>68</v>
      </c>
      <c r="B65" s="2">
        <v>532160</v>
      </c>
      <c r="C65" s="2">
        <f>9480</f>
        <v>9480</v>
      </c>
      <c r="D65" s="7">
        <f t="shared" si="0"/>
        <v>1.781419122068551</v>
      </c>
      <c r="E65" s="2">
        <v>51479</v>
      </c>
      <c r="F65" s="2">
        <f>928+18</f>
        <v>946</v>
      </c>
      <c r="G65" s="7">
        <f t="shared" si="6"/>
        <v>1.8376425338487539</v>
      </c>
      <c r="H65" s="2">
        <v>13592</v>
      </c>
      <c r="I65" s="2">
        <v>0</v>
      </c>
      <c r="J65" s="7">
        <f t="shared" si="2"/>
        <v>0</v>
      </c>
      <c r="K65" s="9">
        <f t="shared" si="9"/>
        <v>597231</v>
      </c>
      <c r="L65" s="9">
        <f aca="true" t="shared" si="10" ref="L65:L97">(C65+F65+I65)</f>
        <v>10426</v>
      </c>
      <c r="M65" s="7">
        <f t="shared" si="5"/>
        <v>1.7457231791383903</v>
      </c>
    </row>
    <row r="66" spans="1:13" ht="12.75">
      <c r="A66" s="6" t="s">
        <v>69</v>
      </c>
      <c r="B66" s="2">
        <v>2089934</v>
      </c>
      <c r="C66" s="2">
        <v>101050</v>
      </c>
      <c r="D66" s="7">
        <f t="shared" si="0"/>
        <v>4.835080916430854</v>
      </c>
      <c r="E66" s="2">
        <v>914619</v>
      </c>
      <c r="F66" s="2">
        <f>7706+69+1067+5</f>
        <v>8847</v>
      </c>
      <c r="G66" s="7">
        <f t="shared" si="6"/>
        <v>0.9672880182895829</v>
      </c>
      <c r="H66" s="2">
        <v>349516</v>
      </c>
      <c r="I66" s="2">
        <f>2549</f>
        <v>2549</v>
      </c>
      <c r="J66" s="7">
        <f t="shared" si="2"/>
        <v>0.7292942240126346</v>
      </c>
      <c r="K66" s="9">
        <f t="shared" si="9"/>
        <v>3354069</v>
      </c>
      <c r="L66" s="9">
        <f t="shared" si="10"/>
        <v>112446</v>
      </c>
      <c r="M66" s="7">
        <f t="shared" si="5"/>
        <v>3.3525249480556303</v>
      </c>
    </row>
    <row r="67" spans="1:13" ht="12.75">
      <c r="A67" s="6" t="s">
        <v>70</v>
      </c>
      <c r="B67" s="2">
        <v>455134</v>
      </c>
      <c r="C67" s="2">
        <v>20165</v>
      </c>
      <c r="D67" s="7">
        <f t="shared" si="0"/>
        <v>4.4305633066305745</v>
      </c>
      <c r="E67" s="8">
        <v>76740</v>
      </c>
      <c r="F67" s="2">
        <f>735+47+48</f>
        <v>830</v>
      </c>
      <c r="G67" s="7">
        <f t="shared" si="6"/>
        <v>1.0815741464685953</v>
      </c>
      <c r="H67" s="2">
        <v>35126</v>
      </c>
      <c r="I67" s="8">
        <v>21</v>
      </c>
      <c r="J67" s="7">
        <f t="shared" si="2"/>
        <v>0.05978477481068154</v>
      </c>
      <c r="K67" s="9">
        <f t="shared" si="9"/>
        <v>567000</v>
      </c>
      <c r="L67" s="9">
        <f t="shared" si="10"/>
        <v>21016</v>
      </c>
      <c r="M67" s="7">
        <f t="shared" si="5"/>
        <v>3.7065255731922395</v>
      </c>
    </row>
    <row r="68" spans="1:13" ht="12.75">
      <c r="A68" s="6" t="s">
        <v>71</v>
      </c>
      <c r="B68" s="2">
        <v>179079</v>
      </c>
      <c r="C68" s="2">
        <f>6762+105</f>
        <v>6867</v>
      </c>
      <c r="D68" s="7">
        <f aca="true" t="shared" si="11" ref="D68:D123">C68/B68*100</f>
        <v>3.834620474762535</v>
      </c>
      <c r="E68" s="2">
        <v>31199</v>
      </c>
      <c r="F68" s="2">
        <v>802</v>
      </c>
      <c r="G68" s="7">
        <f t="shared" si="6"/>
        <v>2.57059521138498</v>
      </c>
      <c r="H68" s="2">
        <v>22981</v>
      </c>
      <c r="I68" s="2">
        <v>0</v>
      </c>
      <c r="J68" s="7">
        <f aca="true" t="shared" si="12" ref="J68:J123">I68/H68*100</f>
        <v>0</v>
      </c>
      <c r="K68" s="9">
        <f t="shared" si="9"/>
        <v>233259</v>
      </c>
      <c r="L68" s="9">
        <f t="shared" si="10"/>
        <v>7669</v>
      </c>
      <c r="M68" s="7">
        <f aca="true" t="shared" si="13" ref="M68:M123">L68/K68*100</f>
        <v>3.287761672647143</v>
      </c>
    </row>
    <row r="69" spans="1:13" ht="12.75">
      <c r="A69" s="6" t="s">
        <v>72</v>
      </c>
      <c r="B69" s="2">
        <v>260739</v>
      </c>
      <c r="C69" s="2">
        <v>21923</v>
      </c>
      <c r="D69" s="7">
        <f t="shared" si="11"/>
        <v>8.408024883120667</v>
      </c>
      <c r="E69" s="2">
        <v>201351</v>
      </c>
      <c r="F69" s="2">
        <f>7896+19+19</f>
        <v>7934</v>
      </c>
      <c r="G69" s="7">
        <f t="shared" si="6"/>
        <v>3.9403827147617845</v>
      </c>
      <c r="H69" s="2">
        <f>11093+882</f>
        <v>11975</v>
      </c>
      <c r="I69" s="2">
        <v>4313</v>
      </c>
      <c r="J69" s="7">
        <f t="shared" si="12"/>
        <v>36.01670146137787</v>
      </c>
      <c r="K69" s="9">
        <f t="shared" si="9"/>
        <v>474065</v>
      </c>
      <c r="L69" s="9">
        <f t="shared" si="10"/>
        <v>34170</v>
      </c>
      <c r="M69" s="7">
        <f t="shared" si="13"/>
        <v>7.207872338181473</v>
      </c>
    </row>
    <row r="70" spans="1:13" ht="12.75">
      <c r="A70" s="6" t="s">
        <v>73</v>
      </c>
      <c r="B70" s="2">
        <v>516385</v>
      </c>
      <c r="C70" s="2">
        <v>36995</v>
      </c>
      <c r="D70" s="7">
        <f t="shared" si="11"/>
        <v>7.164228240556948</v>
      </c>
      <c r="E70" s="2">
        <v>273944</v>
      </c>
      <c r="F70" s="2">
        <v>2413</v>
      </c>
      <c r="G70" s="7">
        <f t="shared" si="6"/>
        <v>0.8808369593785592</v>
      </c>
      <c r="H70" s="2">
        <v>42788</v>
      </c>
      <c r="I70" s="2">
        <v>613</v>
      </c>
      <c r="J70" s="7">
        <f t="shared" si="12"/>
        <v>1.4326446667289894</v>
      </c>
      <c r="K70" s="9">
        <f t="shared" si="9"/>
        <v>833117</v>
      </c>
      <c r="L70" s="9">
        <f t="shared" si="10"/>
        <v>40021</v>
      </c>
      <c r="M70" s="7">
        <f t="shared" si="13"/>
        <v>4.803767057928239</v>
      </c>
    </row>
    <row r="71" spans="1:13" ht="12.75">
      <c r="A71" s="6" t="s">
        <v>74</v>
      </c>
      <c r="B71" s="2">
        <v>319090</v>
      </c>
      <c r="C71" s="2">
        <v>10801</v>
      </c>
      <c r="D71" s="7">
        <f t="shared" si="11"/>
        <v>3.384938418627973</v>
      </c>
      <c r="E71" s="2">
        <v>40107</v>
      </c>
      <c r="F71" s="2">
        <v>110</v>
      </c>
      <c r="G71" s="7">
        <f t="shared" si="6"/>
        <v>0.27426633754706164</v>
      </c>
      <c r="H71" s="2">
        <v>9044</v>
      </c>
      <c r="I71" s="2">
        <v>0</v>
      </c>
      <c r="J71" s="7">
        <f t="shared" si="12"/>
        <v>0</v>
      </c>
      <c r="K71" s="9">
        <f t="shared" si="9"/>
        <v>368241</v>
      </c>
      <c r="L71" s="9">
        <f t="shared" si="10"/>
        <v>10911</v>
      </c>
      <c r="M71" s="7">
        <f t="shared" si="13"/>
        <v>2.9630052058298775</v>
      </c>
    </row>
    <row r="72" spans="1:13" ht="12.75">
      <c r="A72" s="6" t="s">
        <v>75</v>
      </c>
      <c r="B72" s="2">
        <v>734116</v>
      </c>
      <c r="C72" s="8">
        <v>23934</v>
      </c>
      <c r="D72" s="7">
        <f t="shared" si="11"/>
        <v>3.2602476992736844</v>
      </c>
      <c r="E72" s="2">
        <v>85943</v>
      </c>
      <c r="F72" s="2">
        <f>419+77</f>
        <v>496</v>
      </c>
      <c r="G72" s="7">
        <f t="shared" si="6"/>
        <v>0.57712670025482</v>
      </c>
      <c r="H72" s="2">
        <v>45321</v>
      </c>
      <c r="I72" s="2">
        <f>87</f>
        <v>87</v>
      </c>
      <c r="J72" s="7">
        <f t="shared" si="12"/>
        <v>0.19196399020321706</v>
      </c>
      <c r="K72" s="9">
        <f t="shared" si="9"/>
        <v>865380</v>
      </c>
      <c r="L72" s="9">
        <f t="shared" si="10"/>
        <v>24517</v>
      </c>
      <c r="M72" s="7">
        <f t="shared" si="13"/>
        <v>2.8330906653724375</v>
      </c>
    </row>
    <row r="73" spans="1:13" ht="12.75">
      <c r="A73" s="6" t="s">
        <v>76</v>
      </c>
      <c r="B73" s="2">
        <v>395739</v>
      </c>
      <c r="C73" s="2">
        <v>8891</v>
      </c>
      <c r="D73" s="7">
        <f t="shared" si="11"/>
        <v>2.246682788403468</v>
      </c>
      <c r="E73" s="2">
        <v>189657</v>
      </c>
      <c r="F73" s="2">
        <f>864+78</f>
        <v>942</v>
      </c>
      <c r="G73" s="7">
        <f t="shared" si="6"/>
        <v>0.4966861228428162</v>
      </c>
      <c r="H73" s="2">
        <v>23058</v>
      </c>
      <c r="I73" s="2">
        <v>0</v>
      </c>
      <c r="J73" s="7">
        <f t="shared" si="12"/>
        <v>0</v>
      </c>
      <c r="K73" s="9">
        <f t="shared" si="9"/>
        <v>608454</v>
      </c>
      <c r="L73" s="9">
        <f t="shared" si="10"/>
        <v>9833</v>
      </c>
      <c r="M73" s="7">
        <f t="shared" si="13"/>
        <v>1.6160630055846459</v>
      </c>
    </row>
    <row r="74" spans="1:13" ht="12.75">
      <c r="A74" s="6" t="s">
        <v>77</v>
      </c>
      <c r="B74" s="2">
        <v>994325</v>
      </c>
      <c r="C74" s="2">
        <v>23845</v>
      </c>
      <c r="D74" s="7">
        <f t="shared" si="11"/>
        <v>2.398109270107862</v>
      </c>
      <c r="E74" s="2">
        <v>773835</v>
      </c>
      <c r="F74" s="2">
        <f>3803</f>
        <v>3803</v>
      </c>
      <c r="G74" s="7">
        <f t="shared" si="6"/>
        <v>0.49144843538997335</v>
      </c>
      <c r="H74" s="2">
        <v>122943</v>
      </c>
      <c r="I74" s="2">
        <v>5</v>
      </c>
      <c r="J74" s="7">
        <f t="shared" si="12"/>
        <v>0.004066925323117217</v>
      </c>
      <c r="K74" s="9">
        <f t="shared" si="9"/>
        <v>1891103</v>
      </c>
      <c r="L74" s="9">
        <f t="shared" si="10"/>
        <v>27653</v>
      </c>
      <c r="M74" s="7">
        <f t="shared" si="13"/>
        <v>1.462268316426974</v>
      </c>
    </row>
    <row r="75" spans="1:13" ht="12.75">
      <c r="A75" s="6" t="s">
        <v>78</v>
      </c>
      <c r="B75" s="2">
        <v>526318</v>
      </c>
      <c r="C75" s="2">
        <v>8590</v>
      </c>
      <c r="D75" s="7">
        <f t="shared" si="11"/>
        <v>1.6320931452087901</v>
      </c>
      <c r="E75" s="2">
        <v>44668</v>
      </c>
      <c r="F75" s="2">
        <f>416+8</f>
        <v>424</v>
      </c>
      <c r="G75" s="7">
        <f t="shared" si="6"/>
        <v>0.9492253962568281</v>
      </c>
      <c r="H75" s="2">
        <v>15338</v>
      </c>
      <c r="I75" s="2">
        <v>26</v>
      </c>
      <c r="J75" s="7">
        <f t="shared" si="12"/>
        <v>0.16951362628765157</v>
      </c>
      <c r="K75" s="9">
        <f t="shared" si="9"/>
        <v>586324</v>
      </c>
      <c r="L75" s="9">
        <f t="shared" si="10"/>
        <v>9040</v>
      </c>
      <c r="M75" s="7">
        <f t="shared" si="13"/>
        <v>1.5418096479079826</v>
      </c>
    </row>
    <row r="76" spans="1:13" ht="12.75">
      <c r="A76" s="6" t="s">
        <v>79</v>
      </c>
      <c r="B76" s="2">
        <v>3405585</v>
      </c>
      <c r="C76" s="2">
        <v>81559</v>
      </c>
      <c r="D76" s="7">
        <f t="shared" si="11"/>
        <v>2.394860207570799</v>
      </c>
      <c r="E76" s="2">
        <v>1069830</v>
      </c>
      <c r="F76" s="2">
        <v>26657</v>
      </c>
      <c r="G76" s="7">
        <f t="shared" si="6"/>
        <v>2.4917042894665506</v>
      </c>
      <c r="H76" s="2">
        <v>259194</v>
      </c>
      <c r="I76" s="2">
        <f>5344</f>
        <v>5344</v>
      </c>
      <c r="J76" s="7">
        <f t="shared" si="12"/>
        <v>2.0617761213608343</v>
      </c>
      <c r="K76" s="9">
        <f t="shared" si="9"/>
        <v>4734609</v>
      </c>
      <c r="L76" s="9">
        <f t="shared" si="10"/>
        <v>113560</v>
      </c>
      <c r="M76" s="7">
        <f t="shared" si="13"/>
        <v>2.398508514641864</v>
      </c>
    </row>
    <row r="77" spans="1:13" ht="12.75">
      <c r="A77" s="6" t="s">
        <v>80</v>
      </c>
      <c r="B77" s="2">
        <v>221379</v>
      </c>
      <c r="C77" s="2">
        <v>17438</v>
      </c>
      <c r="D77" s="7">
        <f t="shared" si="11"/>
        <v>7.876989235654691</v>
      </c>
      <c r="E77" s="2">
        <v>41720</v>
      </c>
      <c r="F77" s="2">
        <f>2918+313</f>
        <v>3231</v>
      </c>
      <c r="G77" s="7">
        <f t="shared" si="6"/>
        <v>7.744487056567594</v>
      </c>
      <c r="H77" s="8">
        <v>49699</v>
      </c>
      <c r="I77" s="2">
        <v>578</v>
      </c>
      <c r="J77" s="7">
        <f t="shared" si="12"/>
        <v>1.1630012676311394</v>
      </c>
      <c r="K77" s="9">
        <f t="shared" si="9"/>
        <v>312798</v>
      </c>
      <c r="L77" s="9">
        <f t="shared" si="10"/>
        <v>21247</v>
      </c>
      <c r="M77" s="7">
        <f t="shared" si="13"/>
        <v>6.792562612292917</v>
      </c>
    </row>
    <row r="78" spans="1:13" ht="12.75">
      <c r="A78" s="6" t="s">
        <v>81</v>
      </c>
      <c r="B78" s="2">
        <v>865839</v>
      </c>
      <c r="C78" s="2">
        <v>14815</v>
      </c>
      <c r="D78" s="7">
        <f t="shared" si="11"/>
        <v>1.7110571364884233</v>
      </c>
      <c r="E78" s="2">
        <v>334449</v>
      </c>
      <c r="F78" s="2">
        <f>305+30</f>
        <v>335</v>
      </c>
      <c r="G78" s="7">
        <f t="shared" si="6"/>
        <v>0.10016474858648104</v>
      </c>
      <c r="H78" s="2">
        <v>105503</v>
      </c>
      <c r="I78" s="2">
        <v>815</v>
      </c>
      <c r="J78" s="7">
        <f t="shared" si="12"/>
        <v>0.7724898818043089</v>
      </c>
      <c r="K78" s="9">
        <f t="shared" si="9"/>
        <v>1305791</v>
      </c>
      <c r="L78" s="9">
        <f t="shared" si="10"/>
        <v>15965</v>
      </c>
      <c r="M78" s="7">
        <f t="shared" si="13"/>
        <v>1.2226305741117836</v>
      </c>
    </row>
    <row r="79" spans="1:13" ht="12.75">
      <c r="A79" s="6" t="s">
        <v>82</v>
      </c>
      <c r="B79" s="2">
        <v>1639064</v>
      </c>
      <c r="C79" s="2">
        <v>42156</v>
      </c>
      <c r="D79" s="7">
        <f t="shared" si="11"/>
        <v>2.5719557015467363</v>
      </c>
      <c r="E79" s="2">
        <v>1430822</v>
      </c>
      <c r="F79" s="2">
        <f>1187+19+36</f>
        <v>1242</v>
      </c>
      <c r="G79" s="7">
        <f t="shared" si="6"/>
        <v>0.08680325015969842</v>
      </c>
      <c r="H79" s="2">
        <v>146230</v>
      </c>
      <c r="I79" s="2">
        <v>1307</v>
      </c>
      <c r="J79" s="7">
        <f t="shared" si="12"/>
        <v>0.8937974423852835</v>
      </c>
      <c r="K79" s="9">
        <f t="shared" si="9"/>
        <v>3216116</v>
      </c>
      <c r="L79" s="9">
        <f t="shared" si="10"/>
        <v>44705</v>
      </c>
      <c r="M79" s="7">
        <f t="shared" si="13"/>
        <v>1.3900307078476024</v>
      </c>
    </row>
    <row r="80" spans="1:13" ht="12.75">
      <c r="A80" s="6" t="s">
        <v>83</v>
      </c>
      <c r="B80" s="2">
        <v>323499</v>
      </c>
      <c r="C80" s="2">
        <v>22850</v>
      </c>
      <c r="D80" s="7">
        <f t="shared" si="11"/>
        <v>7.063391231503034</v>
      </c>
      <c r="E80" s="2">
        <v>380277</v>
      </c>
      <c r="F80" s="2">
        <v>1017</v>
      </c>
      <c r="G80" s="7">
        <f t="shared" si="6"/>
        <v>0.2674366317184579</v>
      </c>
      <c r="H80" s="2">
        <v>139936</v>
      </c>
      <c r="I80" s="2">
        <v>0</v>
      </c>
      <c r="J80" s="7">
        <f t="shared" si="12"/>
        <v>0</v>
      </c>
      <c r="K80" s="9">
        <f t="shared" si="9"/>
        <v>843712</v>
      </c>
      <c r="L80" s="9">
        <f t="shared" si="10"/>
        <v>23867</v>
      </c>
      <c r="M80" s="7">
        <f t="shared" si="13"/>
        <v>2.8288088826519</v>
      </c>
    </row>
    <row r="81" spans="1:13" ht="12.75">
      <c r="A81" s="6" t="s">
        <v>84</v>
      </c>
      <c r="B81" s="2">
        <v>783691</v>
      </c>
      <c r="C81" s="2">
        <v>6074</v>
      </c>
      <c r="D81" s="7">
        <f t="shared" si="11"/>
        <v>0.7750503706180114</v>
      </c>
      <c r="E81" s="2">
        <v>639299</v>
      </c>
      <c r="F81" s="2">
        <f>26+34</f>
        <v>60</v>
      </c>
      <c r="G81" s="7">
        <f t="shared" si="6"/>
        <v>0.009385279814296597</v>
      </c>
      <c r="H81" s="2">
        <v>128778</v>
      </c>
      <c r="I81" s="2">
        <v>0</v>
      </c>
      <c r="J81" s="7">
        <f t="shared" si="12"/>
        <v>0</v>
      </c>
      <c r="K81" s="9">
        <f t="shared" si="9"/>
        <v>1551768</v>
      </c>
      <c r="L81" s="9">
        <f t="shared" si="10"/>
        <v>6134</v>
      </c>
      <c r="M81" s="7">
        <f t="shared" si="13"/>
        <v>0.39529104866191334</v>
      </c>
    </row>
    <row r="82" spans="1:13" ht="12.75">
      <c r="A82" s="6" t="s">
        <v>85</v>
      </c>
      <c r="B82" s="2">
        <v>3151816</v>
      </c>
      <c r="C82" s="2">
        <v>47671</v>
      </c>
      <c r="D82" s="7">
        <f t="shared" si="11"/>
        <v>1.512493115080322</v>
      </c>
      <c r="E82" s="2">
        <v>1525148</v>
      </c>
      <c r="F82" s="2">
        <v>9817</v>
      </c>
      <c r="G82" s="7">
        <f t="shared" si="6"/>
        <v>0.6436752367639075</v>
      </c>
      <c r="H82" s="2">
        <v>585072</v>
      </c>
      <c r="I82" s="2">
        <f>1341</f>
        <v>1341</v>
      </c>
      <c r="J82" s="7">
        <f t="shared" si="12"/>
        <v>0.22920255968496184</v>
      </c>
      <c r="K82" s="9">
        <f t="shared" si="9"/>
        <v>5262036</v>
      </c>
      <c r="L82" s="9">
        <f t="shared" si="10"/>
        <v>58829</v>
      </c>
      <c r="M82" s="7">
        <f t="shared" si="13"/>
        <v>1.1179893106014478</v>
      </c>
    </row>
    <row r="83" spans="1:13" ht="12.75">
      <c r="A83" s="6" t="s">
        <v>86</v>
      </c>
      <c r="B83" s="8">
        <v>351980</v>
      </c>
      <c r="C83" s="2">
        <v>23091</v>
      </c>
      <c r="D83" s="7">
        <f t="shared" si="11"/>
        <v>6.560315927041309</v>
      </c>
      <c r="E83" s="2">
        <v>54597</v>
      </c>
      <c r="F83" s="2">
        <f>1516+7+7</f>
        <v>1530</v>
      </c>
      <c r="G83" s="7">
        <f t="shared" si="6"/>
        <v>2.802351777570196</v>
      </c>
      <c r="H83" s="2">
        <v>30192</v>
      </c>
      <c r="I83" s="2">
        <v>522</v>
      </c>
      <c r="J83" s="7">
        <f t="shared" si="12"/>
        <v>1.728934817170111</v>
      </c>
      <c r="K83" s="9">
        <f t="shared" si="9"/>
        <v>436769</v>
      </c>
      <c r="L83" s="9">
        <f t="shared" si="10"/>
        <v>25143</v>
      </c>
      <c r="M83" s="7">
        <f t="shared" si="13"/>
        <v>5.75658986787066</v>
      </c>
    </row>
    <row r="84" spans="1:13" ht="12.75">
      <c r="A84" s="6" t="s">
        <v>87</v>
      </c>
      <c r="B84" s="2">
        <v>375765</v>
      </c>
      <c r="C84" s="2">
        <v>9144</v>
      </c>
      <c r="D84" s="7">
        <f t="shared" si="11"/>
        <v>2.4334357909863877</v>
      </c>
      <c r="E84" s="2">
        <v>63522</v>
      </c>
      <c r="F84" s="2">
        <f>313+29</f>
        <v>342</v>
      </c>
      <c r="G84" s="7">
        <f t="shared" si="6"/>
        <v>0.5383961462170587</v>
      </c>
      <c r="H84" s="2">
        <v>12841</v>
      </c>
      <c r="I84" s="2">
        <v>5</v>
      </c>
      <c r="J84" s="7">
        <f t="shared" si="12"/>
        <v>0.0389377774316642</v>
      </c>
      <c r="K84" s="9">
        <f t="shared" si="9"/>
        <v>452128</v>
      </c>
      <c r="L84" s="9">
        <f t="shared" si="10"/>
        <v>9491</v>
      </c>
      <c r="M84" s="7">
        <f t="shared" si="13"/>
        <v>2.0991843017906433</v>
      </c>
    </row>
    <row r="85" spans="1:13" ht="12.75">
      <c r="A85" s="6" t="s">
        <v>88</v>
      </c>
      <c r="B85" s="2">
        <v>925297</v>
      </c>
      <c r="C85" s="2">
        <f>23231+83</f>
        <v>23314</v>
      </c>
      <c r="D85" s="7">
        <f t="shared" si="11"/>
        <v>2.5196234290179262</v>
      </c>
      <c r="E85" s="2">
        <v>239966</v>
      </c>
      <c r="F85" s="2">
        <f>301</f>
        <v>301</v>
      </c>
      <c r="G85" s="7">
        <f t="shared" si="6"/>
        <v>0.12543443654517722</v>
      </c>
      <c r="H85" s="2">
        <v>71796</v>
      </c>
      <c r="I85" s="2">
        <v>32</v>
      </c>
      <c r="J85" s="7">
        <f t="shared" si="12"/>
        <v>0.044570728174271546</v>
      </c>
      <c r="K85" s="9">
        <f t="shared" si="9"/>
        <v>1237059</v>
      </c>
      <c r="L85" s="9">
        <f t="shared" si="10"/>
        <v>23647</v>
      </c>
      <c r="M85" s="7">
        <f t="shared" si="13"/>
        <v>1.9115498937399105</v>
      </c>
    </row>
    <row r="86" spans="1:13" ht="12.75">
      <c r="A86" s="6" t="s">
        <v>89</v>
      </c>
      <c r="B86" s="2">
        <v>142429</v>
      </c>
      <c r="C86" s="2">
        <v>13084</v>
      </c>
      <c r="D86" s="7">
        <f t="shared" si="11"/>
        <v>9.18633143531163</v>
      </c>
      <c r="E86" s="2">
        <v>19092</v>
      </c>
      <c r="F86" s="2">
        <f>303</f>
        <v>303</v>
      </c>
      <c r="G86" s="7">
        <f t="shared" si="6"/>
        <v>1.5870521684475174</v>
      </c>
      <c r="H86" s="2">
        <v>9241</v>
      </c>
      <c r="I86" s="2">
        <v>0</v>
      </c>
      <c r="J86" s="7">
        <f t="shared" si="12"/>
        <v>0</v>
      </c>
      <c r="K86" s="9">
        <f t="shared" si="9"/>
        <v>170762</v>
      </c>
      <c r="L86" s="9">
        <f t="shared" si="10"/>
        <v>13387</v>
      </c>
      <c r="M86" s="7">
        <f t="shared" si="13"/>
        <v>7.8395661798292355</v>
      </c>
    </row>
    <row r="87" spans="1:13" ht="12.75">
      <c r="A87" s="6" t="s">
        <v>90</v>
      </c>
      <c r="B87" s="2">
        <v>1076346</v>
      </c>
      <c r="C87" s="2">
        <v>23439</v>
      </c>
      <c r="D87" s="7">
        <f t="shared" si="11"/>
        <v>2.1776454783127357</v>
      </c>
      <c r="E87" s="2">
        <v>452296</v>
      </c>
      <c r="F87" s="2">
        <f>2470+439</f>
        <v>2909</v>
      </c>
      <c r="G87" s="7">
        <f t="shared" si="6"/>
        <v>0.6431628844827281</v>
      </c>
      <c r="H87" s="2">
        <v>125956</v>
      </c>
      <c r="I87" s="2">
        <v>1232</v>
      </c>
      <c r="J87" s="7">
        <f t="shared" si="12"/>
        <v>0.9781193432627266</v>
      </c>
      <c r="K87" s="9">
        <f t="shared" si="9"/>
        <v>1654598</v>
      </c>
      <c r="L87" s="9">
        <f t="shared" si="10"/>
        <v>27580</v>
      </c>
      <c r="M87" s="7">
        <f t="shared" si="13"/>
        <v>1.6668701400581896</v>
      </c>
    </row>
    <row r="88" spans="1:13" ht="12.75">
      <c r="A88" s="6" t="s">
        <v>91</v>
      </c>
      <c r="B88" s="2">
        <v>285763</v>
      </c>
      <c r="C88" s="2">
        <f>7343</f>
        <v>7343</v>
      </c>
      <c r="D88" s="7">
        <f t="shared" si="11"/>
        <v>2.56961188117426</v>
      </c>
      <c r="E88" s="2">
        <v>166716</v>
      </c>
      <c r="F88" s="2">
        <v>320</v>
      </c>
      <c r="G88" s="7">
        <f t="shared" si="6"/>
        <v>0.19194318481729408</v>
      </c>
      <c r="H88" s="2">
        <v>12078</v>
      </c>
      <c r="I88" s="2">
        <v>25</v>
      </c>
      <c r="J88" s="7">
        <f t="shared" si="12"/>
        <v>0.2069879119059447</v>
      </c>
      <c r="K88" s="9">
        <f t="shared" si="9"/>
        <v>464557</v>
      </c>
      <c r="L88" s="9">
        <f t="shared" si="10"/>
        <v>7688</v>
      </c>
      <c r="M88" s="7">
        <f t="shared" si="13"/>
        <v>1.654909946465127</v>
      </c>
    </row>
    <row r="89" spans="1:13" ht="12.75">
      <c r="A89" s="6" t="s">
        <v>92</v>
      </c>
      <c r="B89" s="2">
        <v>307120</v>
      </c>
      <c r="C89" s="2">
        <v>4670</v>
      </c>
      <c r="D89" s="7">
        <f t="shared" si="11"/>
        <v>1.5205782755926023</v>
      </c>
      <c r="E89" s="2">
        <v>84652</v>
      </c>
      <c r="F89" s="2">
        <v>237</v>
      </c>
      <c r="G89" s="7">
        <f>F89/E89*100</f>
        <v>0.2799697585408496</v>
      </c>
      <c r="H89" s="2">
        <v>27559</v>
      </c>
      <c r="I89" s="2">
        <v>0</v>
      </c>
      <c r="J89" s="7">
        <f t="shared" si="12"/>
        <v>0</v>
      </c>
      <c r="K89" s="9">
        <f t="shared" si="9"/>
        <v>419331</v>
      </c>
      <c r="L89" s="9">
        <f t="shared" si="10"/>
        <v>4907</v>
      </c>
      <c r="M89" s="7">
        <f t="shared" si="13"/>
        <v>1.1701972904459723</v>
      </c>
    </row>
    <row r="90" spans="1:13" ht="12.75">
      <c r="A90" s="6" t="s">
        <v>93</v>
      </c>
      <c r="B90" s="2">
        <v>1087737</v>
      </c>
      <c r="C90" s="2">
        <v>31359</v>
      </c>
      <c r="D90" s="7">
        <f t="shared" si="11"/>
        <v>2.882957920894481</v>
      </c>
      <c r="E90" s="2">
        <v>340786</v>
      </c>
      <c r="F90" s="2">
        <v>2254</v>
      </c>
      <c r="G90" s="7">
        <f t="shared" si="6"/>
        <v>0.6614121472126202</v>
      </c>
      <c r="H90" s="2">
        <v>101633</v>
      </c>
      <c r="I90" s="2">
        <v>3412</v>
      </c>
      <c r="J90" s="7">
        <f t="shared" si="12"/>
        <v>3.3571772947763026</v>
      </c>
      <c r="K90" s="9">
        <f t="shared" si="9"/>
        <v>1530156</v>
      </c>
      <c r="L90" s="9">
        <f t="shared" si="10"/>
        <v>37025</v>
      </c>
      <c r="M90" s="7">
        <f t="shared" si="13"/>
        <v>2.4196879272440195</v>
      </c>
    </row>
    <row r="91" spans="1:13" ht="12.75">
      <c r="A91" s="6" t="s">
        <v>94</v>
      </c>
      <c r="B91" s="2">
        <v>278114</v>
      </c>
      <c r="C91" s="2">
        <v>17669</v>
      </c>
      <c r="D91" s="7">
        <f t="shared" si="11"/>
        <v>6.353150147061997</v>
      </c>
      <c r="E91" s="2">
        <v>89929</v>
      </c>
      <c r="F91" s="2">
        <f>159+2+2</f>
        <v>163</v>
      </c>
      <c r="G91" s="7">
        <f t="shared" si="6"/>
        <v>0.18125410045702722</v>
      </c>
      <c r="H91" s="2">
        <v>29143</v>
      </c>
      <c r="I91" s="2">
        <v>0</v>
      </c>
      <c r="J91" s="7">
        <f t="shared" si="12"/>
        <v>0</v>
      </c>
      <c r="K91" s="9">
        <f t="shared" si="9"/>
        <v>397186</v>
      </c>
      <c r="L91" s="9">
        <f t="shared" si="10"/>
        <v>17832</v>
      </c>
      <c r="M91" s="7">
        <f t="shared" si="13"/>
        <v>4.489584225023037</v>
      </c>
    </row>
    <row r="92" spans="1:13" ht="12.75">
      <c r="A92" s="6" t="s">
        <v>95</v>
      </c>
      <c r="B92" s="2">
        <v>911444</v>
      </c>
      <c r="C92" s="2">
        <v>35034</v>
      </c>
      <c r="D92" s="7">
        <f t="shared" si="11"/>
        <v>3.843790732069112</v>
      </c>
      <c r="E92" s="2">
        <v>258784</v>
      </c>
      <c r="F92" s="2">
        <f>12842+922+44</f>
        <v>13808</v>
      </c>
      <c r="G92" s="7">
        <f t="shared" si="6"/>
        <v>5.335724001483863</v>
      </c>
      <c r="H92" s="2">
        <v>105296</v>
      </c>
      <c r="I92" s="2">
        <v>603</v>
      </c>
      <c r="J92" s="7">
        <f t="shared" si="12"/>
        <v>0.5726713265461176</v>
      </c>
      <c r="K92" s="9">
        <f t="shared" si="9"/>
        <v>1275524</v>
      </c>
      <c r="L92" s="9">
        <f t="shared" si="10"/>
        <v>49445</v>
      </c>
      <c r="M92" s="7">
        <f t="shared" si="13"/>
        <v>3.8764460723592813</v>
      </c>
    </row>
    <row r="93" spans="1:13" ht="12.75">
      <c r="A93" s="6" t="s">
        <v>96</v>
      </c>
      <c r="B93" s="2">
        <v>2050274</v>
      </c>
      <c r="C93" s="2">
        <v>26793</v>
      </c>
      <c r="D93" s="7">
        <f t="shared" si="11"/>
        <v>1.3068009446542268</v>
      </c>
      <c r="E93" s="8">
        <v>531975</v>
      </c>
      <c r="F93" s="2">
        <v>2542</v>
      </c>
      <c r="G93" s="7">
        <f t="shared" si="6"/>
        <v>0.47784200385356457</v>
      </c>
      <c r="H93" s="2">
        <v>327538</v>
      </c>
      <c r="I93" s="2">
        <f>237+2</f>
        <v>239</v>
      </c>
      <c r="J93" s="7">
        <f t="shared" si="12"/>
        <v>0.0729686326472043</v>
      </c>
      <c r="K93" s="9">
        <f t="shared" si="9"/>
        <v>2909787</v>
      </c>
      <c r="L93" s="9">
        <f t="shared" si="10"/>
        <v>29574</v>
      </c>
      <c r="M93" s="7">
        <f t="shared" si="13"/>
        <v>1.0163630533781338</v>
      </c>
    </row>
    <row r="94" spans="1:13" ht="12.75">
      <c r="A94" s="6" t="s">
        <v>97</v>
      </c>
      <c r="B94" s="2">
        <v>231070</v>
      </c>
      <c r="C94" s="2">
        <v>3677</v>
      </c>
      <c r="D94" s="7">
        <f t="shared" si="11"/>
        <v>1.5912926818712945</v>
      </c>
      <c r="E94" s="2">
        <v>17541</v>
      </c>
      <c r="F94" s="2">
        <v>74</v>
      </c>
      <c r="G94" s="7">
        <f t="shared" si="6"/>
        <v>0.42186876460863115</v>
      </c>
      <c r="H94" s="2">
        <v>54864</v>
      </c>
      <c r="I94" s="2">
        <v>4</v>
      </c>
      <c r="J94" s="7">
        <f t="shared" si="12"/>
        <v>0.007290755322251386</v>
      </c>
      <c r="K94" s="9">
        <f t="shared" si="9"/>
        <v>303475</v>
      </c>
      <c r="L94" s="9">
        <f t="shared" si="10"/>
        <v>3755</v>
      </c>
      <c r="M94" s="7">
        <f t="shared" si="13"/>
        <v>1.2373342120438258</v>
      </c>
    </row>
    <row r="95" spans="1:13" ht="12.75">
      <c r="A95" s="6" t="s">
        <v>98</v>
      </c>
      <c r="B95" s="2">
        <v>735821</v>
      </c>
      <c r="C95" s="2">
        <v>21210</v>
      </c>
      <c r="D95" s="7">
        <f t="shared" si="11"/>
        <v>2.8824945197269445</v>
      </c>
      <c r="E95" s="2">
        <v>195526</v>
      </c>
      <c r="F95" s="2">
        <f>1663+56</f>
        <v>1719</v>
      </c>
      <c r="G95" s="7">
        <f t="shared" si="6"/>
        <v>0.8791669650072113</v>
      </c>
      <c r="H95" s="2">
        <v>43128</v>
      </c>
      <c r="I95" s="2">
        <v>0</v>
      </c>
      <c r="J95" s="7">
        <f t="shared" si="12"/>
        <v>0</v>
      </c>
      <c r="K95" s="9">
        <f t="shared" si="9"/>
        <v>974475</v>
      </c>
      <c r="L95" s="9">
        <f t="shared" si="10"/>
        <v>22929</v>
      </c>
      <c r="M95" s="7">
        <f t="shared" si="13"/>
        <v>2.3529592857692605</v>
      </c>
    </row>
    <row r="96" spans="1:13" ht="12.75">
      <c r="A96" s="6" t="s">
        <v>99</v>
      </c>
      <c r="B96" s="2">
        <v>4771954</v>
      </c>
      <c r="C96" s="2">
        <v>59448</v>
      </c>
      <c r="D96" s="7">
        <f t="shared" si="11"/>
        <v>1.245778982781477</v>
      </c>
      <c r="E96" s="2">
        <v>279426</v>
      </c>
      <c r="F96" s="2">
        <f>2887+27+3</f>
        <v>2917</v>
      </c>
      <c r="G96" s="7">
        <f t="shared" si="6"/>
        <v>1.0439257620980151</v>
      </c>
      <c r="H96" s="2">
        <v>174693</v>
      </c>
      <c r="I96" s="2">
        <f>2007</f>
        <v>2007</v>
      </c>
      <c r="J96" s="7">
        <f t="shared" si="12"/>
        <v>1.1488725936356923</v>
      </c>
      <c r="K96" s="9">
        <f t="shared" si="9"/>
        <v>5226073</v>
      </c>
      <c r="L96" s="9">
        <f t="shared" si="10"/>
        <v>64372</v>
      </c>
      <c r="M96" s="7">
        <f t="shared" si="13"/>
        <v>1.2317470498402912</v>
      </c>
    </row>
    <row r="97" spans="1:13" ht="12.75">
      <c r="A97" s="6" t="s">
        <v>100</v>
      </c>
      <c r="B97" s="8">
        <v>416488</v>
      </c>
      <c r="C97" s="2">
        <v>13242</v>
      </c>
      <c r="D97" s="7">
        <f t="shared" si="11"/>
        <v>3.1794433453064674</v>
      </c>
      <c r="E97" s="2">
        <v>30323</v>
      </c>
      <c r="F97" s="2">
        <f>298+1</f>
        <v>299</v>
      </c>
      <c r="G97" s="7">
        <f t="shared" si="6"/>
        <v>0.9860501929228639</v>
      </c>
      <c r="H97" s="2">
        <v>23239</v>
      </c>
      <c r="I97" s="2">
        <v>0</v>
      </c>
      <c r="J97" s="7">
        <f t="shared" si="12"/>
        <v>0</v>
      </c>
      <c r="K97" s="9">
        <f t="shared" si="9"/>
        <v>470050</v>
      </c>
      <c r="L97" s="9">
        <f t="shared" si="10"/>
        <v>13541</v>
      </c>
      <c r="M97" s="7">
        <f t="shared" si="13"/>
        <v>2.8807573662376345</v>
      </c>
    </row>
    <row r="98" spans="1:13" ht="12.75">
      <c r="A98" s="6" t="s">
        <v>101</v>
      </c>
      <c r="B98" s="2">
        <v>80918</v>
      </c>
      <c r="C98" s="2">
        <v>5219</v>
      </c>
      <c r="D98" s="7">
        <f t="shared" si="11"/>
        <v>6.449739242195802</v>
      </c>
      <c r="E98" s="2">
        <f>5244+613</f>
        <v>5857</v>
      </c>
      <c r="F98" s="2">
        <v>6</v>
      </c>
      <c r="G98" s="7">
        <f t="shared" si="6"/>
        <v>0.10244152296397474</v>
      </c>
      <c r="H98" s="2">
        <f>3392+320</f>
        <v>3712</v>
      </c>
      <c r="I98" s="2">
        <v>0</v>
      </c>
      <c r="J98" s="7">
        <f t="shared" si="12"/>
        <v>0</v>
      </c>
      <c r="K98" s="9">
        <f aca="true" t="shared" si="14" ref="K98:K123">(B98+E98+H98)</f>
        <v>90487</v>
      </c>
      <c r="L98" s="9">
        <f aca="true" t="shared" si="15" ref="L98:L123">(C98+F98+I98)</f>
        <v>5225</v>
      </c>
      <c r="M98" s="7">
        <f t="shared" si="13"/>
        <v>5.7743101218959625</v>
      </c>
    </row>
    <row r="99" spans="1:13" ht="12.75">
      <c r="A99" s="6" t="s">
        <v>102</v>
      </c>
      <c r="B99" s="2">
        <v>571981</v>
      </c>
      <c r="C99" s="2">
        <v>12229</v>
      </c>
      <c r="D99" s="7">
        <f t="shared" si="11"/>
        <v>2.1380080806879946</v>
      </c>
      <c r="E99" s="2">
        <v>179193</v>
      </c>
      <c r="F99" s="2">
        <v>1537</v>
      </c>
      <c r="G99" s="7">
        <f t="shared" si="6"/>
        <v>0.857734398107069</v>
      </c>
      <c r="H99" s="2">
        <v>17778</v>
      </c>
      <c r="I99" s="2">
        <v>218</v>
      </c>
      <c r="J99" s="7">
        <f t="shared" si="12"/>
        <v>1.2262346720665993</v>
      </c>
      <c r="K99" s="9">
        <f t="shared" si="14"/>
        <v>768952</v>
      </c>
      <c r="L99" s="9">
        <f t="shared" si="15"/>
        <v>13984</v>
      </c>
      <c r="M99" s="7">
        <f t="shared" si="13"/>
        <v>1.8185790530488248</v>
      </c>
    </row>
    <row r="100" spans="1:13" ht="12.75">
      <c r="A100" s="6" t="s">
        <v>103</v>
      </c>
      <c r="B100" s="2">
        <v>858694</v>
      </c>
      <c r="C100" s="2">
        <v>49725</v>
      </c>
      <c r="D100" s="7">
        <f t="shared" si="11"/>
        <v>5.790770635406792</v>
      </c>
      <c r="E100" s="2">
        <v>695597</v>
      </c>
      <c r="F100" s="2">
        <f>2267+4126+1744+41</f>
        <v>8178</v>
      </c>
      <c r="G100" s="7">
        <f t="shared" si="6"/>
        <v>1.1756807461791814</v>
      </c>
      <c r="H100" s="2">
        <v>136321</v>
      </c>
      <c r="I100" s="2">
        <v>1573</v>
      </c>
      <c r="J100" s="7">
        <f t="shared" si="12"/>
        <v>1.1538941175607573</v>
      </c>
      <c r="K100" s="9">
        <f t="shared" si="14"/>
        <v>1690612</v>
      </c>
      <c r="L100" s="9">
        <f t="shared" si="15"/>
        <v>59476</v>
      </c>
      <c r="M100" s="7">
        <f t="shared" si="13"/>
        <v>3.5180159610839152</v>
      </c>
    </row>
    <row r="101" spans="1:13" ht="12.75">
      <c r="A101" s="6" t="s">
        <v>104</v>
      </c>
      <c r="B101" s="8">
        <v>2360477</v>
      </c>
      <c r="C101" s="2">
        <v>179564</v>
      </c>
      <c r="D101" s="7">
        <f t="shared" si="11"/>
        <v>7.607106529739539</v>
      </c>
      <c r="E101" s="2">
        <v>1624596</v>
      </c>
      <c r="F101" s="2">
        <v>55954</v>
      </c>
      <c r="G101" s="7">
        <f t="shared" si="6"/>
        <v>3.444179352897582</v>
      </c>
      <c r="H101" s="2">
        <v>288222</v>
      </c>
      <c r="I101" s="2">
        <f>17416+214</f>
        <v>17630</v>
      </c>
      <c r="J101" s="7">
        <f t="shared" si="12"/>
        <v>6.116812734628168</v>
      </c>
      <c r="K101" s="9">
        <f t="shared" si="14"/>
        <v>4273295</v>
      </c>
      <c r="L101" s="9">
        <f t="shared" si="15"/>
        <v>253148</v>
      </c>
      <c r="M101" s="7">
        <f t="shared" si="13"/>
        <v>5.923953295992905</v>
      </c>
    </row>
    <row r="102" spans="1:13" ht="12.75">
      <c r="A102" s="6" t="s">
        <v>105</v>
      </c>
      <c r="B102" s="2">
        <v>360202</v>
      </c>
      <c r="C102" s="2">
        <v>22047</v>
      </c>
      <c r="D102" s="7">
        <f t="shared" si="11"/>
        <v>6.120732255789807</v>
      </c>
      <c r="E102" s="2">
        <v>43155</v>
      </c>
      <c r="F102" s="2">
        <v>66</v>
      </c>
      <c r="G102" s="7">
        <f t="shared" si="6"/>
        <v>0.1529370872436566</v>
      </c>
      <c r="H102" s="2">
        <v>12065</v>
      </c>
      <c r="I102" s="2">
        <v>0</v>
      </c>
      <c r="J102" s="7">
        <f t="shared" si="12"/>
        <v>0</v>
      </c>
      <c r="K102" s="9">
        <f t="shared" si="14"/>
        <v>415422</v>
      </c>
      <c r="L102" s="9">
        <f t="shared" si="15"/>
        <v>22113</v>
      </c>
      <c r="M102" s="7">
        <f t="shared" si="13"/>
        <v>5.3230209281164695</v>
      </c>
    </row>
    <row r="103" spans="1:13" ht="12.75">
      <c r="A103" s="6" t="s">
        <v>106</v>
      </c>
      <c r="B103" s="2">
        <v>2884748</v>
      </c>
      <c r="C103" s="2">
        <v>57854</v>
      </c>
      <c r="D103" s="7">
        <f t="shared" si="11"/>
        <v>2.005513133209556</v>
      </c>
      <c r="E103" s="2">
        <v>846325</v>
      </c>
      <c r="F103" s="2">
        <f>2815+1793+3500</f>
        <v>8108</v>
      </c>
      <c r="G103" s="7">
        <f t="shared" si="6"/>
        <v>0.9580243996100789</v>
      </c>
      <c r="H103" s="2">
        <v>403843</v>
      </c>
      <c r="I103" s="2">
        <v>6094</v>
      </c>
      <c r="J103" s="7">
        <f t="shared" si="12"/>
        <v>1.5090022607795603</v>
      </c>
      <c r="K103" s="9">
        <f t="shared" si="14"/>
        <v>4134916</v>
      </c>
      <c r="L103" s="9">
        <f t="shared" si="15"/>
        <v>72056</v>
      </c>
      <c r="M103" s="7">
        <f t="shared" si="13"/>
        <v>1.742623066587084</v>
      </c>
    </row>
    <row r="104" spans="1:13" ht="12.75">
      <c r="A104" s="6" t="s">
        <v>107</v>
      </c>
      <c r="B104" s="2">
        <v>59840</v>
      </c>
      <c r="C104" s="2">
        <v>1777</v>
      </c>
      <c r="D104" s="7">
        <f t="shared" si="11"/>
        <v>2.9695855614973263</v>
      </c>
      <c r="E104" s="2">
        <v>1535</v>
      </c>
      <c r="F104" s="2">
        <f>16+14</f>
        <v>30</v>
      </c>
      <c r="G104" s="7">
        <f t="shared" si="6"/>
        <v>1.9543973941368076</v>
      </c>
      <c r="H104" s="2">
        <f>711+41</f>
        <v>752</v>
      </c>
      <c r="I104" s="2">
        <v>0</v>
      </c>
      <c r="J104" s="7">
        <f t="shared" si="12"/>
        <v>0</v>
      </c>
      <c r="K104" s="9">
        <f t="shared" si="14"/>
        <v>62127</v>
      </c>
      <c r="L104" s="9">
        <f t="shared" si="15"/>
        <v>1807</v>
      </c>
      <c r="M104" s="7">
        <f t="shared" si="13"/>
        <v>2.908558275789914</v>
      </c>
    </row>
    <row r="105" spans="1:13" ht="12.75">
      <c r="A105" s="6" t="s">
        <v>108</v>
      </c>
      <c r="B105" s="2">
        <v>369671</v>
      </c>
      <c r="C105" s="2">
        <v>17250</v>
      </c>
      <c r="D105" s="7">
        <f t="shared" si="11"/>
        <v>4.666311395808705</v>
      </c>
      <c r="E105" s="2">
        <v>85539</v>
      </c>
      <c r="F105" s="2">
        <v>2168</v>
      </c>
      <c r="G105" s="7">
        <f t="shared" si="6"/>
        <v>2.534516419411029</v>
      </c>
      <c r="H105" s="2">
        <v>18566</v>
      </c>
      <c r="I105" s="2">
        <v>1177</v>
      </c>
      <c r="J105" s="7">
        <f t="shared" si="12"/>
        <v>6.339545405580092</v>
      </c>
      <c r="K105" s="9">
        <f t="shared" si="14"/>
        <v>473776</v>
      </c>
      <c r="L105" s="9">
        <f t="shared" si="15"/>
        <v>20595</v>
      </c>
      <c r="M105" s="7">
        <f t="shared" si="13"/>
        <v>4.346990983080612</v>
      </c>
    </row>
    <row r="106" spans="1:13" ht="12.75">
      <c r="A106" s="6" t="s">
        <v>109</v>
      </c>
      <c r="B106" s="2">
        <v>858314</v>
      </c>
      <c r="C106" s="2">
        <v>34684</v>
      </c>
      <c r="D106" s="7">
        <f t="shared" si="11"/>
        <v>4.040945388284474</v>
      </c>
      <c r="E106" s="2">
        <v>279877</v>
      </c>
      <c r="F106" s="2">
        <f>2470+112+5</f>
        <v>2587</v>
      </c>
      <c r="G106" s="7">
        <f t="shared" si="6"/>
        <v>0.9243346184216638</v>
      </c>
      <c r="H106" s="2">
        <v>66124</v>
      </c>
      <c r="I106" s="2">
        <v>54</v>
      </c>
      <c r="J106" s="7">
        <f t="shared" si="12"/>
        <v>0.08166475107374024</v>
      </c>
      <c r="K106" s="9">
        <f t="shared" si="14"/>
        <v>1204315</v>
      </c>
      <c r="L106" s="9">
        <f t="shared" si="15"/>
        <v>37325</v>
      </c>
      <c r="M106" s="7">
        <f t="shared" si="13"/>
        <v>3.0992722003794686</v>
      </c>
    </row>
    <row r="107" spans="1:13" ht="12.75">
      <c r="A107" s="6" t="s">
        <v>110</v>
      </c>
      <c r="B107" s="2">
        <v>680297</v>
      </c>
      <c r="C107" s="2">
        <v>15218</v>
      </c>
      <c r="D107" s="7">
        <f t="shared" si="11"/>
        <v>2.2369641494817705</v>
      </c>
      <c r="E107" s="2">
        <v>213991</v>
      </c>
      <c r="F107" s="2">
        <v>1163</v>
      </c>
      <c r="G107" s="7">
        <f t="shared" si="6"/>
        <v>0.5434808005944175</v>
      </c>
      <c r="H107" s="2">
        <v>70146</v>
      </c>
      <c r="I107" s="2">
        <v>27</v>
      </c>
      <c r="J107" s="7">
        <f t="shared" si="12"/>
        <v>0.03849114703618168</v>
      </c>
      <c r="K107" s="9">
        <f t="shared" si="14"/>
        <v>964434</v>
      </c>
      <c r="L107" s="9">
        <f t="shared" si="15"/>
        <v>16408</v>
      </c>
      <c r="M107" s="7">
        <f t="shared" si="13"/>
        <v>1.7013087468919594</v>
      </c>
    </row>
    <row r="108" spans="1:13" ht="12.75">
      <c r="A108" s="6" t="s">
        <v>111</v>
      </c>
      <c r="B108" s="2">
        <v>2804014</v>
      </c>
      <c r="C108" s="2">
        <v>59934</v>
      </c>
      <c r="D108" s="7">
        <f t="shared" si="11"/>
        <v>2.1374358330593215</v>
      </c>
      <c r="E108" s="2">
        <v>584095</v>
      </c>
      <c r="F108" s="2">
        <v>11603</v>
      </c>
      <c r="G108" s="7">
        <f t="shared" si="6"/>
        <v>1.986491923402871</v>
      </c>
      <c r="H108" s="2">
        <v>624221</v>
      </c>
      <c r="I108" s="2">
        <f>2169+597</f>
        <v>2766</v>
      </c>
      <c r="J108" s="7">
        <f t="shared" si="12"/>
        <v>0.4431122951646933</v>
      </c>
      <c r="K108" s="9">
        <f t="shared" si="14"/>
        <v>4012330</v>
      </c>
      <c r="L108" s="9">
        <f t="shared" si="15"/>
        <v>74303</v>
      </c>
      <c r="M108" s="7">
        <f t="shared" si="13"/>
        <v>1.851866621140335</v>
      </c>
    </row>
    <row r="109" spans="1:13" ht="12.75">
      <c r="A109" s="6" t="s">
        <v>112</v>
      </c>
      <c r="B109" s="2">
        <v>2503109</v>
      </c>
      <c r="C109" s="8">
        <v>35946</v>
      </c>
      <c r="D109" s="7">
        <f t="shared" si="11"/>
        <v>1.4360541230925221</v>
      </c>
      <c r="E109" s="2">
        <v>860434</v>
      </c>
      <c r="F109" s="2">
        <v>4335</v>
      </c>
      <c r="G109" s="7">
        <f t="shared" si="6"/>
        <v>0.5038155163556995</v>
      </c>
      <c r="H109" s="2">
        <v>195303</v>
      </c>
      <c r="I109" s="2">
        <v>0</v>
      </c>
      <c r="J109" s="7">
        <f t="shared" si="12"/>
        <v>0</v>
      </c>
      <c r="K109" s="9">
        <f t="shared" si="14"/>
        <v>3558846</v>
      </c>
      <c r="L109" s="9">
        <f t="shared" si="15"/>
        <v>40281</v>
      </c>
      <c r="M109" s="7">
        <f t="shared" si="13"/>
        <v>1.131855663324572</v>
      </c>
    </row>
    <row r="110" spans="1:13" ht="12.75">
      <c r="A110" s="6" t="s">
        <v>113</v>
      </c>
      <c r="B110" s="2">
        <v>973663</v>
      </c>
      <c r="C110" s="2">
        <v>21742</v>
      </c>
      <c r="D110" s="7">
        <f t="shared" si="11"/>
        <v>2.233010805586738</v>
      </c>
      <c r="E110" s="2">
        <v>604369</v>
      </c>
      <c r="F110" s="2">
        <v>1211</v>
      </c>
      <c r="G110" s="7">
        <f t="shared" si="6"/>
        <v>0.2003742746567081</v>
      </c>
      <c r="H110" s="2">
        <v>144775</v>
      </c>
      <c r="I110" s="2">
        <v>0</v>
      </c>
      <c r="J110" s="7">
        <v>5</v>
      </c>
      <c r="K110" s="9">
        <f t="shared" si="14"/>
        <v>1722807</v>
      </c>
      <c r="L110" s="9">
        <f t="shared" si="15"/>
        <v>22953</v>
      </c>
      <c r="M110" s="7">
        <f t="shared" si="13"/>
        <v>1.332302457559088</v>
      </c>
    </row>
    <row r="111" spans="1:13" ht="12.75">
      <c r="A111" s="6" t="s">
        <v>114</v>
      </c>
      <c r="B111" s="2">
        <v>840312</v>
      </c>
      <c r="C111" s="2">
        <v>12190</v>
      </c>
      <c r="D111" s="7">
        <f t="shared" si="11"/>
        <v>1.450651662715753</v>
      </c>
      <c r="E111" s="2">
        <v>38812</v>
      </c>
      <c r="F111" s="8">
        <f>2204+7+35</f>
        <v>2246</v>
      </c>
      <c r="G111" s="7">
        <f t="shared" si="6"/>
        <v>5.7868700401937545</v>
      </c>
      <c r="H111" s="2">
        <f>17185+1</f>
        <v>17186</v>
      </c>
      <c r="I111" s="2">
        <v>0</v>
      </c>
      <c r="J111" s="7">
        <f t="shared" si="12"/>
        <v>0</v>
      </c>
      <c r="K111" s="9">
        <f t="shared" si="14"/>
        <v>896310</v>
      </c>
      <c r="L111" s="9">
        <f t="shared" si="15"/>
        <v>14436</v>
      </c>
      <c r="M111" s="7">
        <f t="shared" si="13"/>
        <v>1.6106034742444022</v>
      </c>
    </row>
    <row r="112" spans="1:13" ht="12.75">
      <c r="A112" s="6" t="s">
        <v>115</v>
      </c>
      <c r="B112" s="2">
        <v>902140</v>
      </c>
      <c r="C112" s="2">
        <v>8441</v>
      </c>
      <c r="D112" s="7">
        <f t="shared" si="11"/>
        <v>0.9356640876138957</v>
      </c>
      <c r="E112" s="2">
        <v>326864</v>
      </c>
      <c r="F112" s="2">
        <f>2930+52</f>
        <v>2982</v>
      </c>
      <c r="G112" s="7">
        <f t="shared" si="6"/>
        <v>0.912306035537716</v>
      </c>
      <c r="H112" s="2">
        <v>65182</v>
      </c>
      <c r="I112" s="2">
        <v>498</v>
      </c>
      <c r="J112" s="7">
        <f t="shared" si="12"/>
        <v>0.7640146052591206</v>
      </c>
      <c r="K112" s="9">
        <f t="shared" si="14"/>
        <v>1294186</v>
      </c>
      <c r="L112" s="9">
        <f t="shared" si="15"/>
        <v>11921</v>
      </c>
      <c r="M112" s="7">
        <f t="shared" si="13"/>
        <v>0.9211195299593722</v>
      </c>
    </row>
    <row r="113" spans="1:13" ht="12.75">
      <c r="A113" s="6" t="s">
        <v>116</v>
      </c>
      <c r="B113" s="2">
        <v>400078</v>
      </c>
      <c r="C113" s="2">
        <v>9714</v>
      </c>
      <c r="D113" s="7">
        <f t="shared" si="11"/>
        <v>2.428026534825709</v>
      </c>
      <c r="E113" s="2">
        <v>49780</v>
      </c>
      <c r="F113" s="2">
        <v>1427</v>
      </c>
      <c r="G113" s="7">
        <f aca="true" t="shared" si="16" ref="G113:G123">F113/E113*100</f>
        <v>2.8666130976295703</v>
      </c>
      <c r="H113" s="2">
        <v>33714</v>
      </c>
      <c r="I113" s="2">
        <v>0</v>
      </c>
      <c r="J113" s="7">
        <f t="shared" si="12"/>
        <v>0</v>
      </c>
      <c r="K113" s="9">
        <f t="shared" si="14"/>
        <v>483572</v>
      </c>
      <c r="L113" s="9">
        <f t="shared" si="15"/>
        <v>11141</v>
      </c>
      <c r="M113" s="7">
        <f t="shared" si="13"/>
        <v>2.303896834390742</v>
      </c>
    </row>
    <row r="114" spans="1:13" ht="12.75">
      <c r="A114" s="6" t="s">
        <v>117</v>
      </c>
      <c r="B114" s="2">
        <v>670854</v>
      </c>
      <c r="C114" s="8">
        <v>10217</v>
      </c>
      <c r="D114" s="7">
        <f t="shared" si="11"/>
        <v>1.522984136637778</v>
      </c>
      <c r="E114" s="2">
        <v>143649</v>
      </c>
      <c r="F114" s="2">
        <f>188</f>
        <v>188</v>
      </c>
      <c r="G114" s="7">
        <f t="shared" si="16"/>
        <v>0.13087456230116465</v>
      </c>
      <c r="H114" s="2">
        <v>26792</v>
      </c>
      <c r="I114" s="2">
        <v>0</v>
      </c>
      <c r="J114" s="7">
        <f t="shared" si="12"/>
        <v>0</v>
      </c>
      <c r="K114" s="9">
        <f t="shared" si="14"/>
        <v>841295</v>
      </c>
      <c r="L114" s="9">
        <f t="shared" si="15"/>
        <v>10405</v>
      </c>
      <c r="M114" s="7">
        <f t="shared" si="13"/>
        <v>1.2367837678816587</v>
      </c>
    </row>
    <row r="115" spans="1:13" ht="12.75">
      <c r="A115" s="6" t="s">
        <v>118</v>
      </c>
      <c r="B115" s="2">
        <v>308001</v>
      </c>
      <c r="C115" s="2">
        <v>5732</v>
      </c>
      <c r="D115" s="7">
        <f t="shared" si="11"/>
        <v>1.86103291872429</v>
      </c>
      <c r="E115" s="2">
        <v>15628</v>
      </c>
      <c r="F115" s="2">
        <v>22</v>
      </c>
      <c r="G115" s="7">
        <f t="shared" si="16"/>
        <v>0.14077297158945482</v>
      </c>
      <c r="H115" s="2">
        <v>5134</v>
      </c>
      <c r="I115" s="2">
        <v>0</v>
      </c>
      <c r="J115" s="7">
        <f t="shared" si="12"/>
        <v>0</v>
      </c>
      <c r="K115" s="9">
        <f t="shared" si="14"/>
        <v>328763</v>
      </c>
      <c r="L115" s="9">
        <f t="shared" si="15"/>
        <v>5754</v>
      </c>
      <c r="M115" s="7">
        <f t="shared" si="13"/>
        <v>1.7501969503867527</v>
      </c>
    </row>
    <row r="116" spans="1:13" ht="12.75">
      <c r="A116" s="6" t="s">
        <v>119</v>
      </c>
      <c r="B116" s="8">
        <v>520302</v>
      </c>
      <c r="C116" s="2">
        <v>11881</v>
      </c>
      <c r="D116" s="7">
        <f t="shared" si="11"/>
        <v>2.2834815165038767</v>
      </c>
      <c r="E116" s="2">
        <v>414117</v>
      </c>
      <c r="F116" s="2">
        <f>316+5</f>
        <v>321</v>
      </c>
      <c r="G116" s="7">
        <f t="shared" si="16"/>
        <v>0.07751432566158839</v>
      </c>
      <c r="H116" s="2">
        <v>61326</v>
      </c>
      <c r="I116" s="2">
        <v>614</v>
      </c>
      <c r="J116" s="7">
        <f t="shared" si="12"/>
        <v>1.0012066660144148</v>
      </c>
      <c r="K116" s="9">
        <f t="shared" si="14"/>
        <v>995745</v>
      </c>
      <c r="L116" s="9">
        <f t="shared" si="15"/>
        <v>12816</v>
      </c>
      <c r="M116" s="7">
        <f t="shared" si="13"/>
        <v>1.2870765105524005</v>
      </c>
    </row>
    <row r="117" spans="1:13" ht="12.75">
      <c r="A117" s="6" t="s">
        <v>120</v>
      </c>
      <c r="B117" s="2">
        <v>5457251</v>
      </c>
      <c r="C117" s="2">
        <v>49320</v>
      </c>
      <c r="D117" s="7">
        <f t="shared" si="11"/>
        <v>0.9037517240823264</v>
      </c>
      <c r="E117" s="2">
        <v>1931136</v>
      </c>
      <c r="F117" s="2">
        <v>6329</v>
      </c>
      <c r="G117" s="7">
        <f t="shared" si="16"/>
        <v>0.32773455624047193</v>
      </c>
      <c r="H117" s="2">
        <v>777330</v>
      </c>
      <c r="I117" s="2">
        <v>1336</v>
      </c>
      <c r="J117" s="7">
        <f t="shared" si="12"/>
        <v>0.17187037680264494</v>
      </c>
      <c r="K117" s="9">
        <f t="shared" si="14"/>
        <v>8165717</v>
      </c>
      <c r="L117" s="9">
        <f t="shared" si="15"/>
        <v>56985</v>
      </c>
      <c r="M117" s="7">
        <f t="shared" si="13"/>
        <v>0.6978566609643709</v>
      </c>
    </row>
    <row r="118" spans="1:13" ht="12.75">
      <c r="A118" s="6" t="s">
        <v>121</v>
      </c>
      <c r="B118" s="2">
        <v>469811</v>
      </c>
      <c r="C118" s="2">
        <v>5545</v>
      </c>
      <c r="D118" s="7">
        <f t="shared" si="11"/>
        <v>1.18026184997797</v>
      </c>
      <c r="E118" s="2">
        <v>166644</v>
      </c>
      <c r="F118" s="2">
        <v>12</v>
      </c>
      <c r="G118" s="7">
        <f t="shared" si="16"/>
        <v>0.0072009793331893135</v>
      </c>
      <c r="H118" s="2">
        <v>66828</v>
      </c>
      <c r="I118" s="2">
        <v>0</v>
      </c>
      <c r="J118" s="7">
        <f t="shared" si="12"/>
        <v>0</v>
      </c>
      <c r="K118" s="9">
        <f t="shared" si="14"/>
        <v>703283</v>
      </c>
      <c r="L118" s="9">
        <f t="shared" si="15"/>
        <v>5557</v>
      </c>
      <c r="M118" s="7">
        <f t="shared" si="13"/>
        <v>0.7901513331048808</v>
      </c>
    </row>
    <row r="119" spans="1:13" ht="12.75">
      <c r="A119" s="6" t="s">
        <v>122</v>
      </c>
      <c r="B119" s="2">
        <v>637375</v>
      </c>
      <c r="C119" s="2">
        <v>13770</v>
      </c>
      <c r="D119" s="7">
        <f t="shared" si="11"/>
        <v>2.160423612473034</v>
      </c>
      <c r="E119" s="2">
        <v>153055</v>
      </c>
      <c r="F119" s="2">
        <f>900+55</f>
        <v>955</v>
      </c>
      <c r="G119" s="7">
        <f t="shared" si="16"/>
        <v>0.6239587076541112</v>
      </c>
      <c r="H119" s="2">
        <v>45938</v>
      </c>
      <c r="I119" s="2">
        <v>79</v>
      </c>
      <c r="J119" s="7">
        <f t="shared" si="12"/>
        <v>0.17197091732334885</v>
      </c>
      <c r="K119" s="9">
        <f t="shared" si="14"/>
        <v>836368</v>
      </c>
      <c r="L119" s="9">
        <f t="shared" si="15"/>
        <v>14804</v>
      </c>
      <c r="M119" s="7">
        <f t="shared" si="13"/>
        <v>1.7700342432996001</v>
      </c>
    </row>
    <row r="120" spans="1:13" ht="12.75">
      <c r="A120" s="6" t="s">
        <v>123</v>
      </c>
      <c r="B120" s="2">
        <v>402029</v>
      </c>
      <c r="C120" s="2">
        <v>20357</v>
      </c>
      <c r="D120" s="7">
        <f t="shared" si="11"/>
        <v>5.063565066201692</v>
      </c>
      <c r="E120" s="2">
        <v>179644</v>
      </c>
      <c r="F120" s="2">
        <v>448</v>
      </c>
      <c r="G120" s="7">
        <f t="shared" si="16"/>
        <v>0.24938211128676716</v>
      </c>
      <c r="H120" s="2">
        <v>20910</v>
      </c>
      <c r="I120" s="2">
        <v>275</v>
      </c>
      <c r="J120" s="7">
        <f t="shared" si="12"/>
        <v>1.3151602104256337</v>
      </c>
      <c r="K120" s="9">
        <f t="shared" si="14"/>
        <v>602583</v>
      </c>
      <c r="L120" s="9">
        <f t="shared" si="15"/>
        <v>21080</v>
      </c>
      <c r="M120" s="7">
        <f t="shared" si="13"/>
        <v>3.498273266919246</v>
      </c>
    </row>
    <row r="121" spans="1:13" ht="12.75">
      <c r="A121" s="6" t="s">
        <v>124</v>
      </c>
      <c r="B121" s="2">
        <v>1016877</v>
      </c>
      <c r="C121" s="2">
        <v>70459</v>
      </c>
      <c r="D121" s="7">
        <f t="shared" si="11"/>
        <v>6.928959943041292</v>
      </c>
      <c r="E121" s="2">
        <v>277481</v>
      </c>
      <c r="F121" s="2">
        <f>1434+138+17</f>
        <v>1589</v>
      </c>
      <c r="G121" s="7">
        <f t="shared" si="16"/>
        <v>0.5726518212057763</v>
      </c>
      <c r="H121" s="2">
        <v>68763</v>
      </c>
      <c r="I121" s="2">
        <v>52</v>
      </c>
      <c r="J121" s="7">
        <f t="shared" si="12"/>
        <v>0.07562206419149833</v>
      </c>
      <c r="K121" s="9">
        <f t="shared" si="14"/>
        <v>1363121</v>
      </c>
      <c r="L121" s="9">
        <f t="shared" si="15"/>
        <v>72100</v>
      </c>
      <c r="M121" s="7">
        <f t="shared" si="13"/>
        <v>5.289332348338849</v>
      </c>
    </row>
    <row r="122" spans="1:13" ht="12.75">
      <c r="A122" s="6" t="s">
        <v>125</v>
      </c>
      <c r="B122" s="2">
        <v>159449</v>
      </c>
      <c r="C122" s="2">
        <v>8206</v>
      </c>
      <c r="D122" s="7">
        <f t="shared" si="11"/>
        <v>5.1464731669687485</v>
      </c>
      <c r="E122" s="2">
        <v>20824</v>
      </c>
      <c r="F122" s="2">
        <f>121+11</f>
        <v>132</v>
      </c>
      <c r="G122" s="7">
        <f t="shared" si="16"/>
        <v>0.6338839800230504</v>
      </c>
      <c r="H122" s="2">
        <v>3920</v>
      </c>
      <c r="I122" s="2">
        <v>0</v>
      </c>
      <c r="J122" s="7">
        <f t="shared" si="12"/>
        <v>0</v>
      </c>
      <c r="K122" s="9">
        <f t="shared" si="14"/>
        <v>184193</v>
      </c>
      <c r="L122" s="9">
        <f t="shared" si="15"/>
        <v>8338</v>
      </c>
      <c r="M122" s="7">
        <f t="shared" si="13"/>
        <v>4.5267735473117865</v>
      </c>
    </row>
    <row r="123" spans="1:13" ht="12.75">
      <c r="A123" s="6" t="s">
        <v>126</v>
      </c>
      <c r="B123" s="2">
        <v>2023287</v>
      </c>
      <c r="C123" s="2">
        <v>14860</v>
      </c>
      <c r="D123" s="7">
        <f t="shared" si="11"/>
        <v>0.7344484494784971</v>
      </c>
      <c r="E123" s="2">
        <v>495107</v>
      </c>
      <c r="F123" s="2">
        <v>1046</v>
      </c>
      <c r="G123" s="7">
        <f t="shared" si="16"/>
        <v>0.2112674633968011</v>
      </c>
      <c r="H123" s="2">
        <v>204833</v>
      </c>
      <c r="I123" s="2">
        <v>1843</v>
      </c>
      <c r="J123" s="7">
        <f t="shared" si="12"/>
        <v>0.8997573633154813</v>
      </c>
      <c r="K123" s="9">
        <f t="shared" si="14"/>
        <v>2723227</v>
      </c>
      <c r="L123" s="9">
        <f t="shared" si="15"/>
        <v>17749</v>
      </c>
      <c r="M123" s="7">
        <f t="shared" si="13"/>
        <v>0.6517635143893623</v>
      </c>
    </row>
    <row r="124" spans="1:13" ht="13.5" thickBot="1">
      <c r="A124" s="12"/>
      <c r="B124" s="13"/>
      <c r="C124" s="13"/>
      <c r="D124" s="14"/>
      <c r="E124" s="13"/>
      <c r="F124" s="13"/>
      <c r="G124" s="14"/>
      <c r="H124" s="13"/>
      <c r="I124" s="13"/>
      <c r="J124" s="14"/>
      <c r="K124" s="15"/>
      <c r="L124" s="15"/>
      <c r="M124" s="14"/>
    </row>
    <row r="125" spans="1:13" ht="13.5" thickTop="1">
      <c r="A125" s="1" t="s">
        <v>127</v>
      </c>
      <c r="B125" s="2">
        <f>SUM(B4:B123)</f>
        <v>217535231</v>
      </c>
      <c r="C125" s="2">
        <f>SUM(C4:C123)</f>
        <v>4671925</v>
      </c>
      <c r="D125" s="7">
        <f>C125/B125*100</f>
        <v>2.1476636122449517</v>
      </c>
      <c r="E125" s="2">
        <f>SUM(E4:E123)</f>
        <v>65541616</v>
      </c>
      <c r="F125" s="2">
        <f>SUM(F4:F123)</f>
        <v>684271</v>
      </c>
      <c r="G125" s="7">
        <f>F125/E125*100</f>
        <v>1.0440252190303028</v>
      </c>
      <c r="H125" s="2">
        <f>SUM(H4:H123)</f>
        <v>29043634</v>
      </c>
      <c r="I125" s="2">
        <f>SUM(I4:I123)</f>
        <v>367298</v>
      </c>
      <c r="J125" s="7">
        <f>I125/H125*100</f>
        <v>1.2646420210363483</v>
      </c>
      <c r="K125" s="2">
        <f>SUM(K4:K123)</f>
        <v>312120481</v>
      </c>
      <c r="L125" s="2">
        <f>SUM(L4:L123)</f>
        <v>5723494</v>
      </c>
      <c r="M125" s="7">
        <f>L125/K125*100</f>
        <v>1.8337450915308566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</dc:title>
  <dc:subject/>
  <dc:creator>rev0656</dc:creator>
  <cp:keywords/>
  <dc:description/>
  <cp:lastModifiedBy>rev0760</cp:lastModifiedBy>
  <cp:lastPrinted>2006-01-27T15:47:02Z</cp:lastPrinted>
  <dcterms:created xsi:type="dcterms:W3CDTF">2006-01-27T13:21:09Z</dcterms:created>
  <dcterms:modified xsi:type="dcterms:W3CDTF">2008-02-13T13:28:34Z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